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0C78A1F9-A177-4746-AC76-4085EECE78F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zápasníků'!$A$1:$C$16</definedName>
    <definedName name="_xlnm.Print_Area" localSheetId="3">'Tabulka finále'!$A$1:$U$59</definedName>
    <definedName name="_xlnm.Print_Area" localSheetId="2">'Tabulka kvalifikace'!$A$1:$AE$47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GI13" i="1" l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7" i="21" l="1"/>
  <c r="A20" i="21"/>
  <c r="A19" i="21"/>
  <c r="C21" i="21"/>
  <c r="B21" i="21"/>
  <c r="H21" i="21"/>
  <c r="K21" i="21"/>
  <c r="F21" i="21"/>
  <c r="AI168" i="4"/>
  <c r="AJ72" i="4" s="1"/>
  <c r="AI169" i="4"/>
  <c r="AJ73" i="4" s="1"/>
  <c r="DM94" i="11"/>
  <c r="BB109" i="11"/>
  <c r="FT53" i="4"/>
  <c r="C19" i="21" l="1"/>
  <c r="B19" i="21"/>
  <c r="K19" i="21"/>
  <c r="H19" i="21"/>
  <c r="F19" i="21"/>
  <c r="C20" i="21"/>
  <c r="F20" i="21"/>
  <c r="K20" i="21"/>
  <c r="B20" i="21"/>
  <c r="H20" i="21"/>
  <c r="C17" i="21"/>
  <c r="K17" i="21"/>
  <c r="B17" i="21"/>
  <c r="F17" i="21"/>
  <c r="H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EC43" i="4"/>
  <c r="AC29" i="3"/>
  <c r="BC114" i="11"/>
  <c r="BF114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C48" i="4"/>
  <c r="BR44" i="4"/>
  <c r="GA109" i="11"/>
  <c r="BX62" i="4"/>
  <c r="C18" i="21" l="1"/>
  <c r="F18" i="21"/>
  <c r="K18" i="21"/>
  <c r="B18" i="21"/>
  <c r="H18" i="21"/>
  <c r="C22" i="21"/>
  <c r="F22" i="21"/>
  <c r="H22" i="21"/>
  <c r="K22" i="21"/>
  <c r="B22" i="21"/>
  <c r="AG39" i="3"/>
  <c r="AC31" i="3"/>
  <c r="GY101" i="4"/>
  <c r="HC122" i="4" s="1"/>
  <c r="DH102" i="4"/>
  <c r="CO53" i="4"/>
  <c r="AC27" i="3"/>
  <c r="DQ102" i="4"/>
  <c r="DW102" i="4" s="1"/>
  <c r="GH114" i="11" s="1"/>
  <c r="GA114" i="11"/>
  <c r="GT114" i="11" s="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8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AI159" i="4" s="1"/>
  <c r="AJ63" i="4" s="1"/>
  <c r="DP12" i="4"/>
  <c r="AJ94" i="4"/>
  <c r="DP10" i="4"/>
  <c r="AJ92" i="4"/>
  <c r="BX70" i="4"/>
  <c r="BY69" i="4"/>
  <c r="AJ8" i="4" l="1"/>
  <c r="DS9" i="4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T13" i="4" s="1"/>
  <c r="DV19" i="4" s="1"/>
  <c r="K19" i="4" s="1"/>
  <c r="CE87" i="4" s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C15" i="21"/>
  <c r="H15" i="21"/>
  <c r="B15" i="21"/>
  <c r="K15" i="21"/>
  <c r="F15" i="21"/>
  <c r="A13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H13" i="21"/>
  <c r="B13" i="21"/>
  <c r="K13" i="21"/>
  <c r="F13" i="21"/>
  <c r="C16" i="21"/>
  <c r="B16" i="21"/>
  <c r="H16" i="21"/>
  <c r="F16" i="21"/>
  <c r="K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FX50" i="4" l="1"/>
  <c r="FZ60" i="4" s="1"/>
  <c r="N60" i="4" s="1"/>
  <c r="O14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AO7" i="4" s="1"/>
  <c r="AO89" i="4" s="1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FV9" i="4"/>
  <c r="FX9" i="4" s="1"/>
  <c r="FZ11" i="4" s="1"/>
  <c r="N11" i="4" s="1"/>
  <c r="O96" i="4" s="1"/>
  <c r="AO40" i="4"/>
  <c r="AO105" i="4" s="1"/>
  <c r="AN159" i="4" s="1"/>
  <c r="AO63" i="4" s="1"/>
  <c r="FV40" i="4"/>
  <c r="FX40" i="4" s="1"/>
  <c r="FZ40" i="4" s="1"/>
  <c r="N40" i="4" s="1"/>
  <c r="O124" i="4" s="1"/>
  <c r="AO41" i="4"/>
  <c r="AO106" i="4" s="1"/>
  <c r="AN160" i="4" s="1"/>
  <c r="AO64" i="4" s="1"/>
  <c r="FV41" i="4"/>
  <c r="FX41" i="4" s="1"/>
  <c r="FZ42" i="4" s="1"/>
  <c r="N42" i="4" s="1"/>
  <c r="O125" i="4" s="1"/>
  <c r="FV42" i="4"/>
  <c r="FX42" i="4" s="1"/>
  <c r="FZ44" i="4" s="1"/>
  <c r="N44" i="4" s="1"/>
  <c r="CH99" i="4" s="1"/>
  <c r="AO42" i="4"/>
  <c r="AO107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C10" i="21" s="1"/>
  <c r="K9" i="21"/>
  <c r="C9" i="21"/>
  <c r="O145" i="4"/>
  <c r="O146" i="4"/>
  <c r="CH108" i="4"/>
  <c r="GG40" i="4"/>
  <c r="HI40" i="4" s="1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HI41" i="4" s="1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GG9" i="4"/>
  <c r="HI8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O128" i="4"/>
  <c r="O129" i="4"/>
  <c r="CH100" i="4"/>
  <c r="O130" i="4"/>
  <c r="GG43" i="4"/>
  <c r="CH82" i="4"/>
  <c r="GG8" i="4"/>
  <c r="HI7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127" i="4" l="1"/>
  <c r="O95" i="4"/>
  <c r="H10" i="21"/>
  <c r="H11" i="21"/>
  <c r="B11" i="21"/>
  <c r="K11" i="21"/>
  <c r="F11" i="21"/>
  <c r="K10" i="21"/>
  <c r="B10" i="21"/>
  <c r="F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S13" i="4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R109" i="4" l="1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1" i="4" s="1"/>
  <c r="IP42" i="4" s="1"/>
  <c r="Q42" i="4" s="1"/>
  <c r="R126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IL42" i="4" l="1"/>
  <c r="IE41" i="4"/>
  <c r="IH41" i="4" s="1"/>
  <c r="AU41" i="4" s="1"/>
  <c r="IE40" i="4"/>
  <c r="IH40" i="4" s="1"/>
  <c r="AU40" i="4" s="1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H41" i="4" s="1"/>
  <c r="JO41" i="4" s="1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CK86" i="4"/>
  <c r="R101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IY8" i="4" l="1"/>
  <c r="IN43" i="4"/>
  <c r="IP46" i="4" s="1"/>
  <c r="Q46" i="4" s="1"/>
  <c r="IN49" i="4"/>
  <c r="IP58" i="4" s="1"/>
  <c r="Q58" i="4" s="1"/>
  <c r="IN54" i="4"/>
  <c r="IP68" i="4" s="1"/>
  <c r="Q68" i="4" s="1"/>
  <c r="IN55" i="4"/>
  <c r="IP70" i="4" s="1"/>
  <c r="Q70" i="4" s="1"/>
  <c r="IN44" i="4"/>
  <c r="IP48" i="4" s="1"/>
  <c r="Q48" i="4" s="1"/>
  <c r="IN47" i="4"/>
  <c r="IP54" i="4" s="1"/>
  <c r="Q54" i="4" s="1"/>
  <c r="IN52" i="4"/>
  <c r="IP64" i="4" s="1"/>
  <c r="Q64" i="4" s="1"/>
  <c r="IN45" i="4"/>
  <c r="IP50" i="4" s="1"/>
  <c r="Q50" i="4" s="1"/>
  <c r="IN50" i="4"/>
  <c r="IP60" i="4" s="1"/>
  <c r="Q60" i="4" s="1"/>
  <c r="IN46" i="4"/>
  <c r="IP52" i="4" s="1"/>
  <c r="Q52" i="4" s="1"/>
  <c r="IN48" i="4"/>
  <c r="IP56" i="4" s="1"/>
  <c r="Q56" i="4" s="1"/>
  <c r="IN53" i="4"/>
  <c r="IP66" i="4" s="1"/>
  <c r="Q66" i="4" s="1"/>
  <c r="IN51" i="4"/>
  <c r="IP62" i="4" s="1"/>
  <c r="Q62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JT41" i="4" s="1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GH45" i="4" l="1"/>
  <c r="IY44" i="4" s="1"/>
  <c r="CK102" i="4"/>
  <c r="R134" i="4"/>
  <c r="R133" i="4"/>
  <c r="R148" i="4"/>
  <c r="R147" i="4"/>
  <c r="GH52" i="4"/>
  <c r="CK109" i="4"/>
  <c r="CK104" i="4"/>
  <c r="GH47" i="4"/>
  <c r="R137" i="4"/>
  <c r="R138" i="4"/>
  <c r="R146" i="4"/>
  <c r="GH51" i="4"/>
  <c r="R145" i="4"/>
  <c r="CK108" i="4"/>
  <c r="R132" i="4"/>
  <c r="CK101" i="4"/>
  <c r="R131" i="4"/>
  <c r="GH44" i="4"/>
  <c r="GH53" i="4"/>
  <c r="R149" i="4"/>
  <c r="CK110" i="4"/>
  <c r="R150" i="4"/>
  <c r="R154" i="4"/>
  <c r="CK112" i="4"/>
  <c r="GH55" i="4"/>
  <c r="R153" i="4"/>
  <c r="GH48" i="4"/>
  <c r="R140" i="4"/>
  <c r="CK105" i="4"/>
  <c r="R139" i="4"/>
  <c r="R152" i="4"/>
  <c r="R151" i="4"/>
  <c r="CK111" i="4"/>
  <c r="GH54" i="4"/>
  <c r="R135" i="4"/>
  <c r="GH46" i="4"/>
  <c r="CK103" i="4"/>
  <c r="R136" i="4"/>
  <c r="GH49" i="4"/>
  <c r="CK106" i="4"/>
  <c r="R142" i="4"/>
  <c r="R141" i="4"/>
  <c r="R144" i="4"/>
  <c r="R143" i="4"/>
  <c r="CK107" i="4"/>
  <c r="GH50" i="4"/>
  <c r="CK100" i="4"/>
  <c r="R129" i="4"/>
  <c r="GH43" i="4"/>
  <c r="R130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W41" i="4" l="1"/>
  <c r="AW106" i="4" s="1"/>
  <c r="AZ18" i="4"/>
  <c r="AZ50" i="4"/>
  <c r="BC6" i="4"/>
  <c r="BC88" i="4" s="1"/>
  <c r="AW14" i="4"/>
  <c r="AW96" i="4" s="1"/>
  <c r="AW9" i="4"/>
  <c r="AW91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48" i="4"/>
  <c r="AW113" i="4" s="1"/>
  <c r="BC39" i="4"/>
  <c r="AZ51" i="4"/>
  <c r="AW17" i="4"/>
  <c r="AW99" i="4" s="1"/>
  <c r="T62" i="4"/>
  <c r="AW10" i="4"/>
  <c r="AW92" i="4" s="1"/>
  <c r="AZ14" i="4"/>
  <c r="AW50" i="4"/>
  <c r="AW115" i="4" s="1"/>
  <c r="AW6" i="4"/>
  <c r="AW88" i="4" s="1"/>
  <c r="T66" i="4"/>
  <c r="AW45" i="4"/>
  <c r="AW110" i="4" s="1"/>
  <c r="BB6" i="4"/>
  <c r="BB88" i="4" s="1"/>
  <c r="AW15" i="4"/>
  <c r="AW97" i="4" s="1"/>
  <c r="T46" i="4"/>
  <c r="T58" i="4"/>
  <c r="T60" i="4"/>
  <c r="T54" i="4"/>
  <c r="T68" i="4"/>
  <c r="T64" i="4"/>
  <c r="T56" i="4"/>
  <c r="T44" i="4"/>
  <c r="BB39" i="4"/>
  <c r="AX6" i="4"/>
  <c r="AX88" i="4" s="1"/>
  <c r="AW12" i="4"/>
  <c r="AW94" i="4" s="1"/>
  <c r="AW16" i="4"/>
  <c r="AW98" i="4" s="1"/>
  <c r="AZ15" i="4"/>
  <c r="AW7" i="4"/>
  <c r="AW89" i="4" s="1"/>
  <c r="AW11" i="4"/>
  <c r="AW93" i="4" s="1"/>
  <c r="AW51" i="4"/>
  <c r="AW116" i="4" s="1"/>
  <c r="T70" i="4"/>
  <c r="AW44" i="4"/>
  <c r="AW109" i="4" s="1"/>
  <c r="AW43" i="4"/>
  <c r="AW108" i="4" s="1"/>
  <c r="AW40" i="4"/>
  <c r="AW13" i="4"/>
  <c r="AW95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P40" i="4" l="1"/>
  <c r="U139" i="4"/>
  <c r="GI48" i="4"/>
  <c r="CN105" i="4"/>
  <c r="U140" i="4"/>
  <c r="GI52" i="4"/>
  <c r="U148" i="4"/>
  <c r="CN109" i="4"/>
  <c r="U147" i="4"/>
  <c r="U151" i="4"/>
  <c r="GI54" i="4"/>
  <c r="U152" i="4"/>
  <c r="CN111" i="4"/>
  <c r="GI53" i="4"/>
  <c r="U150" i="4"/>
  <c r="CN110" i="4"/>
  <c r="U149" i="4"/>
  <c r="AW105" i="4"/>
  <c r="AW158" i="4" s="1"/>
  <c r="AX62" i="4" s="1"/>
  <c r="AY40" i="4"/>
  <c r="AY105" i="4" s="1"/>
  <c r="AX158" i="4" s="1"/>
  <c r="AY62" i="4" s="1"/>
  <c r="U138" i="4"/>
  <c r="GI47" i="4"/>
  <c r="U137" i="4"/>
  <c r="CN104" i="4"/>
  <c r="U143" i="4"/>
  <c r="U144" i="4"/>
  <c r="GI50" i="4"/>
  <c r="CN107" i="4"/>
  <c r="GI49" i="4"/>
  <c r="CN106" i="4"/>
  <c r="U142" i="4"/>
  <c r="U141" i="4"/>
  <c r="U154" i="4"/>
  <c r="U153" i="4"/>
  <c r="CN112" i="4"/>
  <c r="GI55" i="4"/>
  <c r="CN100" i="4"/>
  <c r="U130" i="4"/>
  <c r="GI43" i="4"/>
  <c r="U129" i="4"/>
  <c r="U127" i="4"/>
  <c r="U128" i="4"/>
  <c r="CN99" i="4"/>
  <c r="GI42" i="4"/>
  <c r="CN108" i="4"/>
  <c r="U146" i="4"/>
  <c r="GI51" i="4"/>
  <c r="U145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U97" i="4"/>
  <c r="GF109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GG96" i="11" l="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99" i="4" l="1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36" i="4" l="1"/>
  <c r="DU136" i="4" s="1"/>
  <c r="DX136" i="4"/>
  <c r="EA136" i="4" s="1"/>
  <c r="CE53" i="11"/>
  <c r="K46" i="11" s="1"/>
  <c r="EB138" i="4"/>
  <c r="DR135" i="4"/>
  <c r="HM96" i="11"/>
  <c r="HN96" i="11" s="1"/>
  <c r="EB140" i="4"/>
  <c r="EB136" i="4" l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DR134" i="4" s="1"/>
  <c r="DS134" i="4" s="1"/>
  <c r="DU134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U93" i="11" s="1"/>
  <c r="IA93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HU94" i="11" l="1"/>
  <c r="IA94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CG33" i="11" l="1"/>
  <c r="DN118" i="4" s="1"/>
  <c r="DR118" i="4" s="1"/>
  <c r="P10" i="3"/>
  <c r="EB134" i="4"/>
  <c r="HX97" i="11"/>
  <c r="HW97" i="11"/>
  <c r="DX118" i="4" l="1"/>
  <c r="EA118" i="4" s="1"/>
  <c r="DS118" i="4"/>
  <c r="DU118" i="4" s="1"/>
  <c r="EB118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48" i="4"/>
  <c r="EF121" i="4" l="1"/>
  <c r="EF145" i="4"/>
  <c r="EF149" i="4"/>
  <c r="EK149" i="4" s="1"/>
  <c r="EJ149" i="4" s="1"/>
  <c r="EF129" i="4"/>
  <c r="EF120" i="4"/>
  <c r="EF139" i="4"/>
  <c r="EF135" i="4"/>
  <c r="EK135" i="4" s="1"/>
  <c r="EQ135" i="4" s="1"/>
  <c r="EO135" i="4" s="1"/>
  <c r="ER135" i="4" s="1"/>
  <c r="EF140" i="4"/>
  <c r="EK140" i="4" s="1"/>
  <c r="EQ140" i="4" s="1"/>
  <c r="EO140" i="4" s="1"/>
  <c r="ER140" i="4" s="1"/>
  <c r="EF144" i="4"/>
  <c r="EF130" i="4"/>
  <c r="EF127" i="4"/>
  <c r="EF146" i="4"/>
  <c r="EF128" i="4"/>
  <c r="EF147" i="4"/>
  <c r="EF133" i="4"/>
  <c r="EK133" i="4" s="1"/>
  <c r="EJ133" i="4" s="1"/>
  <c r="EF141" i="4"/>
  <c r="EK141" i="4" s="1"/>
  <c r="EJ141" i="4" s="1"/>
  <c r="EF118" i="4"/>
  <c r="EF119" i="4"/>
  <c r="EF125" i="4"/>
  <c r="EK125" i="4" s="1"/>
  <c r="EU125" i="4" s="1"/>
  <c r="EW125" i="4" s="1"/>
  <c r="EF137" i="4"/>
  <c r="EK137" i="4" s="1"/>
  <c r="EQ137" i="4" s="1"/>
  <c r="EO137" i="4" s="1"/>
  <c r="ER137" i="4" s="1"/>
  <c r="EF143" i="4"/>
  <c r="EF136" i="4"/>
  <c r="EK136" i="4" s="1"/>
  <c r="EQ136" i="4" s="1"/>
  <c r="EO136" i="4" s="1"/>
  <c r="ER136" i="4" s="1"/>
  <c r="EF124" i="4"/>
  <c r="EK124" i="4" s="1"/>
  <c r="EU124" i="4" s="1"/>
  <c r="EF126" i="4"/>
  <c r="EK126" i="4" s="1"/>
  <c r="EU126" i="4" s="1"/>
  <c r="EW126" i="4" s="1"/>
  <c r="EF132" i="4"/>
  <c r="EF138" i="4"/>
  <c r="EF131" i="4"/>
  <c r="EK131" i="4" s="1"/>
  <c r="EJ131" i="4" s="1"/>
  <c r="EF122" i="4"/>
  <c r="EI122" i="4" s="1"/>
  <c r="EF142" i="4"/>
  <c r="EK142" i="4" s="1"/>
  <c r="EQ142" i="4" s="1"/>
  <c r="EO142" i="4" s="1"/>
  <c r="ER142" i="4" s="1"/>
  <c r="EF134" i="4"/>
  <c r="EK134" i="4" s="1"/>
  <c r="EJ134" i="4" s="1"/>
  <c r="EK143" i="4"/>
  <c r="EJ143" i="4" s="1"/>
  <c r="EK129" i="4"/>
  <c r="EJ129" i="4" s="1"/>
  <c r="EI120" i="4"/>
  <c r="EK120" i="4"/>
  <c r="EQ120" i="4" s="1"/>
  <c r="EO120" i="4" s="1"/>
  <c r="ER120" i="4" s="1"/>
  <c r="EK144" i="4"/>
  <c r="EQ144" i="4" s="1"/>
  <c r="EO144" i="4" s="1"/>
  <c r="ER144" i="4" s="1"/>
  <c r="EK130" i="4"/>
  <c r="EU130" i="4" s="1"/>
  <c r="EW130" i="4" s="1"/>
  <c r="EK127" i="4"/>
  <c r="EJ127" i="4" s="1"/>
  <c r="EK146" i="4"/>
  <c r="EQ146" i="4" s="1"/>
  <c r="EO146" i="4" s="1"/>
  <c r="ER146" i="4" s="1"/>
  <c r="EK123" i="4"/>
  <c r="EQ123" i="4" s="1"/>
  <c r="EO123" i="4" s="1"/>
  <c r="ER123" i="4" s="1"/>
  <c r="EI123" i="4"/>
  <c r="EK147" i="4"/>
  <c r="EJ147" i="4" s="1"/>
  <c r="EK139" i="4"/>
  <c r="EQ139" i="4" s="1"/>
  <c r="EO139" i="4" s="1"/>
  <c r="ER139" i="4" s="1"/>
  <c r="EK118" i="4"/>
  <c r="EU118" i="4" s="1"/>
  <c r="EW118" i="4" s="1"/>
  <c r="EI118" i="4"/>
  <c r="EK121" i="4"/>
  <c r="EI121" i="4"/>
  <c r="EK119" i="4"/>
  <c r="EI119" i="4"/>
  <c r="EK148" i="4"/>
  <c r="EQ148" i="4" s="1"/>
  <c r="EO148" i="4" s="1"/>
  <c r="ER148" i="4" s="1"/>
  <c r="EK132" i="4"/>
  <c r="EU132" i="4" s="1"/>
  <c r="EW132" i="4" s="1"/>
  <c r="EK145" i="4"/>
  <c r="EQ145" i="4" s="1"/>
  <c r="EO145" i="4" s="1"/>
  <c r="ER145" i="4" s="1"/>
  <c r="EK128" i="4"/>
  <c r="EQ128" i="4" s="1"/>
  <c r="EO128" i="4" s="1"/>
  <c r="ER128" i="4" s="1"/>
  <c r="EK138" i="4"/>
  <c r="EQ138" i="4" s="1"/>
  <c r="EO138" i="4" s="1"/>
  <c r="ER138" i="4" s="1"/>
  <c r="EK122" i="4" l="1"/>
  <c r="EJ122" i="4" s="1"/>
  <c r="EJ126" i="4"/>
  <c r="EQ126" i="4"/>
  <c r="EO126" i="4" s="1"/>
  <c r="ER126" i="4" s="1"/>
  <c r="EJ135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N119" i="4" l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L126" i="4" s="1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20" i="4" l="1"/>
  <c r="FL13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P132" i="4" s="1"/>
  <c r="FQ132" i="4" s="1"/>
  <c r="FW146" i="4" s="1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42" i="4" l="1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A20" i="3" s="1"/>
  <c r="B20" i="3" s="1"/>
  <c r="F37" i="3" l="1"/>
  <c r="A37" i="3" s="1"/>
  <c r="C37" i="3" s="1"/>
  <c r="F19" i="3"/>
  <c r="A19" i="3" s="1"/>
  <c r="C19" i="3" s="1"/>
  <c r="J10" i="3"/>
  <c r="U10" i="3" s="1"/>
  <c r="AD10" i="3" s="1"/>
  <c r="F18" i="3"/>
  <c r="A18" i="3" s="1"/>
  <c r="B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E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C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C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C20" i="3"/>
  <c r="C13" i="3"/>
  <c r="B13" i="3"/>
  <c r="E20" i="3"/>
  <c r="E17" i="3" l="1"/>
  <c r="C26" i="3"/>
  <c r="B30" i="3"/>
  <c r="B19" i="3"/>
  <c r="B17" i="3"/>
  <c r="B26" i="3"/>
  <c r="E19" i="3"/>
  <c r="C31" i="3"/>
  <c r="E35" i="3"/>
  <c r="C30" i="3"/>
  <c r="E10" i="3"/>
  <c r="B37" i="3"/>
  <c r="B41" i="3"/>
  <c r="C10" i="3"/>
  <c r="E37" i="3"/>
  <c r="E15" i="3"/>
  <c r="C41" i="3"/>
  <c r="B15" i="3"/>
  <c r="B35" i="3"/>
  <c r="E39" i="3"/>
  <c r="B39" i="3"/>
  <c r="C22" i="3"/>
  <c r="B31" i="3"/>
  <c r="E40" i="3"/>
  <c r="E18" i="3"/>
  <c r="B28" i="3"/>
  <c r="C18" i="3"/>
  <c r="E27" i="3"/>
  <c r="B14" i="3"/>
  <c r="B40" i="3"/>
  <c r="B27" i="3"/>
  <c r="E14" i="3"/>
  <c r="C28" i="3"/>
  <c r="E22" i="3"/>
  <c r="C29" i="3"/>
  <c r="B29" i="3"/>
  <c r="B32" i="3"/>
  <c r="E32" i="3"/>
  <c r="B11" i="3"/>
  <c r="C12" i="3"/>
  <c r="B12" i="3"/>
  <c r="E23" i="3"/>
  <c r="E36" i="3"/>
  <c r="C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  <c r="A5" i="21" l="1"/>
  <c r="B5" i="21" s="1"/>
  <c r="P3" i="21" s="1"/>
</calcChain>
</file>

<file path=xl/sharedStrings.xml><?xml version="1.0" encoding="utf-8"?>
<sst xmlns="http://schemas.openxmlformats.org/spreadsheetml/2006/main" count="356" uniqueCount="86">
  <si>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</si>
  <si>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</si>
  <si>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</si>
  <si>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</si>
  <si>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</si>
  <si>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</si>
  <si>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</si>
  <si>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</si>
  <si>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</si>
  <si>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</si>
  <si>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</si>
  <si>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</si>
  <si>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</si>
  <si>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</si>
  <si>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</si>
  <si>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</si>
  <si>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</si>
  <si>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</si>
  <si>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</si>
  <si>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</si>
  <si>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</si>
  <si>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</si>
  <si>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</si>
  <si>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</si>
  <si>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</si>
  <si>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</si>
  <si>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</si>
  <si>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</si>
  <si>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</si>
  <si>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</si>
  <si>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</si>
  <si>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</si>
  <si>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</si>
  <si>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</si>
  <si>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</si>
  <si>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</si>
  <si>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</si>
  <si>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</si>
  <si>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</si>
  <si>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</si>
  <si>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</si>
  <si>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</si>
  <si>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</si>
  <si>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</si>
  <si>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</si>
  <si>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</si>
  <si>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</si>
  <si>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</si>
  <si>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</si>
  <si>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</si>
  <si>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</si>
  <si>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</si>
  <si>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</si>
  <si>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</si>
  <si>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</si>
  <si>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</si>
  <si>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</si>
  <si>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</si>
  <si>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</si>
  <si>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</si>
  <si>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</si>
  <si>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</si>
  <si>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</si>
  <si>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</si>
  <si>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</si>
  <si>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</si>
  <si>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</si>
  <si>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</si>
  <si>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</si>
  <si>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</si>
  <si>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</si>
  <si>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</si>
  <si>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</si>
  <si>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Hod.</t>
  </si>
  <si>
    <t>Pustowka Vojtěch</t>
  </si>
  <si>
    <t>Třin.</t>
  </si>
  <si>
    <t>v.s.</t>
  </si>
  <si>
    <t>Kačmařík Adam</t>
  </si>
  <si>
    <t>Jabl.</t>
  </si>
  <si>
    <t>Theodor Brož</t>
  </si>
  <si>
    <t>N.Jič.</t>
  </si>
  <si>
    <t>VOMELA Patrik</t>
  </si>
  <si>
    <t>H.Brod</t>
  </si>
  <si>
    <t>Brodacký Antonín</t>
  </si>
  <si>
    <t>Lukeš Mathyas</t>
  </si>
  <si>
    <t>Tichá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</si>
</sst>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7" sqref="B7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A příp 47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Brodacký Antonín</v>
      </c>
      <c r="C10" s="20" t="str">
        <f>IF((IF(A10="","",(IF(F10="","",(INDEX('Vážní listina'!$E$7:$E$38,F10))))))=0,"",(IF(A10="","",(IF(F10="","",(INDEX('Vážní listina'!$E$7:$E$38,F10)))))))</f>
        <v>Hod.</v>
      </c>
      <c r="D10" s="36">
        <v>1</v>
      </c>
      <c r="E10" s="36">
        <f>IF($G$5=0,"",(A10))</f>
        <v>1</v>
      </c>
      <c r="F10" s="36">
        <f>IF('Tabulka kvalifikace'!$AE$7="",99,('Tabulka kvalifikace'!EU118))</f>
        <v>5</v>
      </c>
      <c r="I10" s="36">
        <f>'Tabulka kvalifikace'!D7</f>
        <v>1</v>
      </c>
      <c r="J10" s="36">
        <f>'Tabulka kvalifikace'!AE7</f>
        <v>5</v>
      </c>
      <c r="L10" s="136">
        <f>'Tabulka finále'!D10</f>
        <v>1</v>
      </c>
      <c r="M10" s="136" t="str">
        <f>'Tabulka finále'!Q10</f>
        <v>FIII</v>
      </c>
      <c r="O10" s="36">
        <f>'Tabulka finále'!D36</f>
        <v>1</v>
      </c>
      <c r="P10" s="36">
        <f>'Tabulka finále'!K36</f>
        <v>5</v>
      </c>
      <c r="T10" s="36">
        <f>I10</f>
        <v>1</v>
      </c>
      <c r="U10" s="36">
        <f>J10</f>
        <v>5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FIII</v>
      </c>
      <c r="Z10" s="36">
        <f>IF(T10=$O$10,$O$10,IF(T10=$O$11,$O$11,IF(T10=$O$12,$O$12,IF(T10=$O$13,$O$13,""))))</f>
        <v>1</v>
      </c>
      <c r="AA10" s="36">
        <f>IF(T10=$O$10,$P$10,IF(T10=$O$11,$P$11,IF(T10=$O$12,$P$12,IF(T10=$O$13,$P$13,""))))</f>
        <v>5</v>
      </c>
      <c r="AC10" s="36">
        <f>T10</f>
        <v>1</v>
      </c>
      <c r="AD10" s="36">
        <f>IF(Z10="",(IF(W10="",(U10),X10)),AA10)</f>
        <v>5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Theodor Brož</v>
      </c>
      <c r="C11" s="20" t="str">
        <f>IF((IF(A11="","",(IF(F11="","",(INDEX('Vážní listina'!$E$7:$E$38,F11))))))=0,"",(IF(A11="","",(IF(F11="","",(INDEX('Vážní listina'!$E$7:$E$38,F11)))))))</f>
        <v>N.Jič.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3</v>
      </c>
      <c r="I11" s="36">
        <f>'Tabulka kvalifikace'!D9</f>
        <v>2</v>
      </c>
      <c r="J11" s="36">
        <f>'Tabulka kvalifikace'!AE9</f>
        <v>3</v>
      </c>
      <c r="L11" s="136">
        <f>'Tabulka finále'!D12</f>
        <v>2</v>
      </c>
      <c r="M11" s="136" t="str">
        <f>'Tabulka finále'!Q12</f>
        <v>FII</v>
      </c>
      <c r="O11" s="36">
        <f>'Tabulka finále'!D38</f>
        <v>6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3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3</v>
      </c>
      <c r="AC11" s="36">
        <f t="shared" ref="AC11:AC41" si="5">T11</f>
        <v>2</v>
      </c>
      <c r="AD11" s="36">
        <f t="shared" ref="AD11:AD41" si="6">IF(Z11="",(IF(W11="",(U11),X11)),AA11)</f>
        <v>3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Kačmařík Adam</v>
      </c>
      <c r="C12" s="20" t="str">
        <f>IF((IF(A12="","",(IF(F12="","",(INDEX('Vážní listina'!$E$7:$E$38,F12))))))=0,"",(IF(A12="","",(IF(F12="","",(INDEX('Vážní listina'!$E$7:$E$38,F12)))))))</f>
        <v>Jabl.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2</v>
      </c>
      <c r="I12" s="36">
        <f>'Tabulka kvalifikace'!D11</f>
        <v>3</v>
      </c>
      <c r="J12" s="36">
        <f>'Tabulka kvalifikace'!AE11</f>
        <v>2</v>
      </c>
      <c r="L12" s="136">
        <f>'Tabulka finále'!D14</f>
        <v>3</v>
      </c>
      <c r="M12" s="136" t="str">
        <f>'Tabulka finále'!Q14</f>
        <v>FI</v>
      </c>
      <c r="O12" s="36">
        <f>'Tabulka finále'!D46</f>
        <v>2</v>
      </c>
      <c r="P12" s="36">
        <f>'Tabulka finále'!K46</f>
        <v>3</v>
      </c>
      <c r="T12" s="36">
        <f t="shared" si="1"/>
        <v>3</v>
      </c>
      <c r="U12" s="36">
        <f t="shared" si="2"/>
        <v>2</v>
      </c>
      <c r="W12" s="36">
        <f>IF(T12=$L$10,$L$10,IF(T12=$L$11,$L$11,IF(T12=$L$12,$L$12,IF(T12=$L$13,$L$13,IF(T12=$L$14,$L$14,IF(T12=$L$15,$L$15,IF(T12=$L$16,$L$16,IF(T12=$L$17,$L$17,""))))))))</f>
        <v>3</v>
      </c>
      <c r="X12" s="36" t="str">
        <f>IF(T12=$L$10,$M$10,IF(T12=$L$11,$M$11,IF(T12=$L$12,$M$12,IF(T12=$L$13,$M$13,IF(T12=$L$14,$M$14,IF(T12=$L$15,$M$15,IF(T12=$L$16,$M$16,IF(T12=$L$17,$M$17,""))))))))</f>
        <v>FI</v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 t="str">
        <f t="shared" si="6"/>
        <v>FI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VOMELA Patrik</v>
      </c>
      <c r="C13" s="20" t="str">
        <f>IF((IF(A13="","",(IF(F13="","",(INDEX('Vážní listina'!$E$7:$E$38,F13))))))=0,"",(IF(A13="","",(IF(F13="","",(INDEX('Vážní listina'!$E$7:$E$38,F13)))))))</f>
        <v>H.Brod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4</v>
      </c>
      <c r="I13" s="36" t="str">
        <f>'Tabulka kvalifikace'!D13</f>
        <v/>
      </c>
      <c r="J13" s="36" t="str">
        <f>'Tabulka kvalifikace'!AE13</f>
        <v/>
      </c>
      <c r="L13" s="136">
        <f>'Tabulka finále'!D16</f>
        <v>0</v>
      </c>
      <c r="M13" s="136" t="str">
        <f>'Tabulka finále'!Q16</f>
        <v/>
      </c>
      <c r="O13" s="36">
        <f>'Tabulka finále'!D48</f>
        <v>4</v>
      </c>
      <c r="P13" s="36">
        <f>'Tabulka finále'!K48</f>
        <v>4</v>
      </c>
      <c r="T13" s="36" t="str">
        <f t="shared" si="1"/>
        <v/>
      </c>
      <c r="U13" s="36" t="str">
        <f t="shared" si="2"/>
        <v/>
      </c>
      <c r="W13" s="36" t="str">
        <f>IF(T13=$L$10,$L$10,IF(T13=$L$11,$L$11,IF(T13=$L$12,$L$12,IF(T13=$L$13,$L$13,IF(T13=$L$14,$L$14,IF(T13=$L$15,$L$15,IF(T13=$L$16,$L$16,IF(T13=$L$17,$L$17,""))))))))</f>
        <v/>
      </c>
      <c r="X13" s="36" t="str">
        <f>IF(T13=$L$10,$M$10,IF(T13=$L$11,$M$11,IF(T13=$L$12,$M$12,IF(T13=$L$13,$M$13,IF(T13=$L$14,$M$14,IF(T13=$L$15,$M$15,IF(T13=$L$16,$M$16,IF(T13=$L$17,$M$17,""))))))))</f>
        <v/>
      </c>
      <c r="Z13" s="36" t="str">
        <f t="shared" si="3"/>
        <v/>
      </c>
      <c r="AA13" s="36" t="str">
        <f t="shared" si="4"/>
        <v/>
      </c>
      <c r="AC13" s="36" t="str">
        <f t="shared" si="5"/>
        <v/>
      </c>
      <c r="AD13" s="36" t="str">
        <f t="shared" si="6"/>
        <v/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Pustowka Vojtěch</v>
      </c>
      <c r="C14" s="20" t="str">
        <f>IF((IF(A14="","",(IF(F14="","",(INDEX('Vážní listina'!$E$7:$E$38,F14))))))=0,"",(IF(A14="","",(IF(F14="","",(INDEX('Vážní listina'!$E$7:$E$38,F14)))))))</f>
        <v>Třin.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1</v>
      </c>
      <c r="I14" s="36" t="str">
        <f>'Tabulka kvalifikace'!D15</f>
        <v/>
      </c>
      <c r="J14" s="36" t="str">
        <f>'Tabulka kvalifikace'!AE15</f>
        <v/>
      </c>
      <c r="L14" s="136">
        <f>'Tabulka finále'!D22</f>
        <v>4</v>
      </c>
      <c r="M14" s="136" t="str">
        <f>'Tabulka finále'!Q22</f>
        <v>FII</v>
      </c>
      <c r="T14" s="36" t="str">
        <f t="shared" si="1"/>
        <v/>
      </c>
      <c r="U14" s="36" t="str">
        <f t="shared" si="2"/>
        <v/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 t="str">
        <f t="shared" si="5"/>
        <v/>
      </c>
      <c r="AD14" s="36" t="str">
        <f t="shared" si="6"/>
        <v/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Lukeš Mathyas</v>
      </c>
      <c r="C15" s="20" t="str">
        <f>IF((IF(A15="","",(IF(F15="","",(INDEX('Vážní listina'!$E$7:$E$38,F15))))))=0,"",(IF(A15="","",(IF(F15="","",(INDEX('Vážní listina'!$E$7:$E$38,F15)))))))</f>
        <v>Tichá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6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5</v>
      </c>
      <c r="M15" s="136" t="str">
        <f>'Tabulka finále'!Q24</f>
        <v>FI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 t="str">
        <f>IF('Tabulka kvalifikace'!$AC$5="x",(IF(F16=99,"",('Tabulka kvalifikace'!ET124))),"")</f>
        <v/>
      </c>
      <c r="B16" s="19" t="str">
        <f>IF((IF(A16="","",(IF(F16="","",(INDEX('Vážní listina'!$D$7:$D$38,F16))))))=0,"",(IF(A16="","",(IF(F16="","",(INDEX('Vážní listina'!$D$7:$D$38,F16)))))))</f>
        <v/>
      </c>
      <c r="C16" s="20" t="str">
        <f>IF((IF(A16="","",(IF(F16="","",(INDEX('Vážní listina'!$E$7:$E$38,F16))))))=0,"",(IF(A16="","",(IF(F16="","",(INDEX('Vážní listina'!$E$7:$E$38,F16)))))))</f>
        <v/>
      </c>
      <c r="D16" s="36">
        <f t="shared" si="12"/>
        <v>7</v>
      </c>
      <c r="E16" s="36" t="str">
        <f t="shared" si="0"/>
        <v/>
      </c>
      <c r="F16" s="36">
        <f>IF('Tabulka kvalifikace'!$AE$7="",99,('Tabulka kvalifikace'!EU124))</f>
        <v>99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6</v>
      </c>
      <c r="M16" s="136" t="str">
        <f>'Tabulka finále'!Q26</f>
        <v>FIII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36">
        <f t="shared" si="12"/>
        <v>8</v>
      </c>
      <c r="E17" s="36" t="str">
        <f t="shared" si="0"/>
        <v/>
      </c>
      <c r="F17" s="36">
        <f>IF('Tabulka kvalifikace'!$AE$7="",99,('Tabulka kvalifikace'!EU125))</f>
        <v>99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36">
        <f t="shared" si="12"/>
        <v>9</v>
      </c>
      <c r="E18" s="36" t="str">
        <f t="shared" si="0"/>
        <v/>
      </c>
      <c r="F18" s="36">
        <f>IF('Tabulka kvalifikace'!$AE$7="",99,('Tabulka kvalifikace'!EU126))</f>
        <v>99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4</v>
      </c>
      <c r="J26" s="36">
        <f>'Tabulka kvalifikace'!AE40</f>
        <v>4</v>
      </c>
      <c r="T26" s="36">
        <f t="shared" si="1"/>
        <v>4</v>
      </c>
      <c r="U26" s="36">
        <f t="shared" si="2"/>
        <v>4</v>
      </c>
      <c r="W26" s="36">
        <f t="shared" si="14"/>
        <v>4</v>
      </c>
      <c r="X26" s="36" t="str">
        <f t="shared" si="15"/>
        <v>FII</v>
      </c>
      <c r="Z26" s="36">
        <f t="shared" si="3"/>
        <v>4</v>
      </c>
      <c r="AA26" s="36">
        <f t="shared" si="4"/>
        <v>4</v>
      </c>
      <c r="AC26" s="36">
        <f t="shared" si="5"/>
        <v>4</v>
      </c>
      <c r="AD26" s="36">
        <f t="shared" si="6"/>
        <v>4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5</v>
      </c>
      <c r="J27" s="36">
        <f>'Tabulka kvalifikace'!AE42</f>
        <v>1</v>
      </c>
      <c r="T27" s="36">
        <f t="shared" si="1"/>
        <v>5</v>
      </c>
      <c r="U27" s="36">
        <f t="shared" si="2"/>
        <v>1</v>
      </c>
      <c r="W27" s="36">
        <f t="shared" si="14"/>
        <v>5</v>
      </c>
      <c r="X27" s="36" t="str">
        <f t="shared" si="15"/>
        <v>FI</v>
      </c>
      <c r="Z27" s="36" t="str">
        <f t="shared" si="3"/>
        <v/>
      </c>
      <c r="AA27" s="36" t="str">
        <f t="shared" si="4"/>
        <v/>
      </c>
      <c r="AC27" s="36">
        <f t="shared" si="5"/>
        <v>5</v>
      </c>
      <c r="AD27" s="36" t="str">
        <f t="shared" si="6"/>
        <v>FI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6</v>
      </c>
      <c r="J28" s="36">
        <f>'Tabulka kvalifikace'!AE44</f>
        <v>6</v>
      </c>
      <c r="T28" s="36">
        <f t="shared" si="1"/>
        <v>6</v>
      </c>
      <c r="U28" s="36">
        <f t="shared" si="2"/>
        <v>6</v>
      </c>
      <c r="W28" s="36">
        <f t="shared" si="14"/>
        <v>6</v>
      </c>
      <c r="X28" s="36" t="str">
        <f t="shared" si="15"/>
        <v>FIII</v>
      </c>
      <c r="Z28" s="36">
        <f t="shared" si="3"/>
        <v>6</v>
      </c>
      <c r="AA28" s="36">
        <f t="shared" si="4"/>
        <v>6</v>
      </c>
      <c r="AC28" s="36">
        <f t="shared" si="5"/>
        <v>6</v>
      </c>
      <c r="AD28" s="36">
        <f t="shared" si="6"/>
        <v>6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 t="str">
        <f>'Tabulka kvalifikace'!D46</f>
        <v/>
      </c>
      <c r="J29" s="36" t="str">
        <f>'Tabulka kvalifikace'!AE46</f>
        <v/>
      </c>
      <c r="T29" s="36" t="str">
        <f t="shared" si="1"/>
        <v/>
      </c>
      <c r="U29" s="36" t="str">
        <f t="shared" si="2"/>
        <v/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 t="str">
        <f t="shared" si="5"/>
        <v/>
      </c>
      <c r="AD29" s="36" t="str">
        <f t="shared" si="6"/>
        <v/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2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27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6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6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A příp 47 kg</v>
      </c>
      <c r="G4" s="291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47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1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1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1111110000000001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47</v>
      </c>
      <c r="D7" s="96" t="s">
        <v>74</v>
      </c>
      <c r="E7" s="10" t="s">
        <v>75</v>
      </c>
      <c r="F7" s="9">
        <v>2014</v>
      </c>
      <c r="G7" s="97">
        <v>18</v>
      </c>
      <c r="H7" s="98">
        <v>44.2</v>
      </c>
      <c r="I7" s="92" t="s">
        <v>76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Pustowka Vojtěch</v>
      </c>
      <c r="HR7" s="158" t="str">
        <f>IF(HK7="","",(IF((INDEX($E$7:$E$38,HK7))="","",(INDEX($E$7:$E$38,HK7)))))</f>
        <v>Třin.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2</v>
      </c>
    </row>
    <row r="8" spans="1:259" ht="15.9" customHeight="1" x14ac:dyDescent="0.3">
      <c r="A8" s="104">
        <v>2</v>
      </c>
      <c r="B8" s="99" t="s">
        <v>72</v>
      </c>
      <c r="C8" s="97">
        <v>47</v>
      </c>
      <c r="D8" s="96" t="s">
        <v>77</v>
      </c>
      <c r="E8" s="10" t="s">
        <v>78</v>
      </c>
      <c r="F8" s="9">
        <v>2013</v>
      </c>
      <c r="G8" s="97">
        <v>77</v>
      </c>
      <c r="H8" s="98">
        <v>46.5</v>
      </c>
      <c r="I8" s="91" t="s">
        <v>76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 t="str">
        <f t="shared" ref="HG8:HG38" si="124">IF($HF$2&lt;=5,0,(INDEX($FY$7:$GY$38,HD8,$HD$1)))</f>
        <v>VL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3</v>
      </c>
    </row>
    <row r="9" spans="1:259" ht="15.9" customHeight="1" x14ac:dyDescent="0.3">
      <c r="A9" s="104">
        <v>3</v>
      </c>
      <c r="B9" s="94" t="s">
        <v>72</v>
      </c>
      <c r="C9" s="95">
        <v>47</v>
      </c>
      <c r="D9" s="96" t="s">
        <v>79</v>
      </c>
      <c r="E9" s="10" t="s">
        <v>80</v>
      </c>
      <c r="F9" s="9">
        <v>2013</v>
      </c>
      <c r="G9" s="97">
        <v>87</v>
      </c>
      <c r="H9" s="98">
        <v>43.9</v>
      </c>
      <c r="I9" s="91" t="s">
        <v>76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 t="str">
        <f t="shared" si="123"/>
        <v>VL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 t="str">
        <f>IF(HG8=0,"",HG8)</f>
        <v>VL</v>
      </c>
      <c r="HQ9" s="159" t="str">
        <f t="shared" si="125"/>
        <v>Kačmařík Adam</v>
      </c>
      <c r="HR9" s="160" t="str">
        <f t="shared" si="126"/>
        <v>Jabl.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1</v>
      </c>
    </row>
    <row r="10" spans="1:259" ht="15.9" customHeight="1" x14ac:dyDescent="0.3">
      <c r="A10" s="104">
        <v>4</v>
      </c>
      <c r="B10" s="99" t="s">
        <v>72</v>
      </c>
      <c r="C10" s="97">
        <v>47</v>
      </c>
      <c r="D10" s="96" t="s">
        <v>81</v>
      </c>
      <c r="E10" s="10" t="s">
        <v>82</v>
      </c>
      <c r="F10" s="9">
        <v>2013</v>
      </c>
      <c r="G10" s="97">
        <v>133</v>
      </c>
      <c r="H10" s="98">
        <v>44.8</v>
      </c>
      <c r="I10" s="91" t="s">
        <v>76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0</v>
      </c>
      <c r="HF10" s="36">
        <f t="shared" si="123"/>
        <v>0</v>
      </c>
      <c r="HG10" s="36">
        <f t="shared" si="124"/>
        <v>0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0</v>
      </c>
    </row>
    <row r="11" spans="1:259" ht="15.9" customHeight="1" x14ac:dyDescent="0.3">
      <c r="A11" s="104">
        <v>5</v>
      </c>
      <c r="B11" s="94" t="s">
        <v>72</v>
      </c>
      <c r="C11" s="95">
        <v>47</v>
      </c>
      <c r="D11" s="96" t="s">
        <v>83</v>
      </c>
      <c r="E11" s="10" t="s">
        <v>73</v>
      </c>
      <c r="F11" s="9">
        <v>2013</v>
      </c>
      <c r="G11" s="97">
        <v>150</v>
      </c>
      <c r="H11" s="98">
        <v>45.8</v>
      </c>
      <c r="I11" s="91" t="s">
        <v>76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0</v>
      </c>
      <c r="HF11" s="36">
        <f t="shared" si="123"/>
        <v>0</v>
      </c>
      <c r="HG11" s="36">
        <f t="shared" si="124"/>
        <v>0</v>
      </c>
      <c r="HJ11" s="36">
        <f>HJ9+1</f>
        <v>3</v>
      </c>
      <c r="HK11" s="152">
        <f>IF(HE9=0,"",HE9)</f>
        <v>3</v>
      </c>
      <c r="HL11" s="36" t="str">
        <f>IF(HF9=0,"",HF9)</f>
        <v>VL</v>
      </c>
      <c r="HM11" s="153">
        <f>IF(HG9=0,"",HG9)</f>
        <v>1</v>
      </c>
      <c r="HQ11" s="159" t="str">
        <f t="shared" si="125"/>
        <v>Theodor Brož</v>
      </c>
      <c r="HR11" s="160" t="str">
        <f t="shared" si="126"/>
        <v>N.Jič.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0</v>
      </c>
    </row>
    <row r="12" spans="1:259" ht="15.9" customHeight="1" x14ac:dyDescent="0.3">
      <c r="A12" s="104">
        <v>6</v>
      </c>
      <c r="B12" s="99" t="s">
        <v>72</v>
      </c>
      <c r="C12" s="97">
        <v>47</v>
      </c>
      <c r="D12" s="96" t="s">
        <v>84</v>
      </c>
      <c r="E12" s="10" t="s">
        <v>85</v>
      </c>
      <c r="F12" s="9">
        <v>2013</v>
      </c>
      <c r="G12" s="97">
        <v>190</v>
      </c>
      <c r="H12" s="98">
        <v>44.6</v>
      </c>
      <c r="I12" s="91" t="s">
        <v>76</v>
      </c>
      <c r="K12" s="67" t="str">
        <f>[1]List1!$B$109</f>
        <v xml:space="preserve">A přípravka žáci </v>
      </c>
      <c r="L12" s="36" t="str">
        <f t="shared" si="11"/>
        <v>x</v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>
        <f>IF(L12="x",20,"")</f>
        <v>20</v>
      </c>
      <c r="V12" s="36">
        <f t="shared" si="12"/>
        <v>1</v>
      </c>
      <c r="W12" s="36">
        <f t="shared" si="133"/>
        <v>1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53" t="str">
        <f>[1]List1!$A$109</f>
        <v>A příp</v>
      </c>
      <c r="AC12" t="str">
        <f t="shared" si="18"/>
        <v>A příp</v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72</v>
      </c>
      <c r="C13" s="95">
        <v>31</v>
      </c>
      <c r="D13" s="96"/>
      <c r="E13" s="10"/>
      <c r="F13" s="9"/>
      <c r="G13" s="97"/>
      <c r="H13" s="98"/>
      <c r="I13" s="91"/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0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 t="str">
        <f>IF(HE10=0,"",HE10)</f>
        <v/>
      </c>
      <c r="HL13" s="36" t="str">
        <f>IF(HF10=0,"",HF10)</f>
        <v/>
      </c>
      <c r="HM13" s="153" t="str">
        <f>IF(HG10=0,"",HG10)</f>
        <v/>
      </c>
      <c r="HQ13" s="159" t="str">
        <f t="shared" si="125"/>
        <v/>
      </c>
      <c r="HR13" s="160" t="str">
        <f t="shared" si="126"/>
        <v/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31</v>
      </c>
      <c r="D14" s="96"/>
      <c r="E14" s="10"/>
      <c r="F14" s="9"/>
      <c r="G14" s="97"/>
      <c r="H14" s="98"/>
      <c r="I14" s="91"/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0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31</v>
      </c>
      <c r="D15" s="96"/>
      <c r="E15" s="10"/>
      <c r="F15" s="9"/>
      <c r="G15" s="97"/>
      <c r="H15" s="98"/>
      <c r="I15" s="91"/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0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 t="str">
        <f>IF(HE11=0,"",HE11)</f>
        <v/>
      </c>
      <c r="HL15" s="36" t="str">
        <f>IF(HF11=0,"",HF11)</f>
        <v/>
      </c>
      <c r="HM15" s="153" t="str">
        <f>IF(HG11=0,"",HG11)</f>
        <v/>
      </c>
      <c r="HQ15" s="159" t="str">
        <f t="shared" si="125"/>
        <v/>
      </c>
      <c r="HR15" s="160" t="str">
        <f t="shared" si="126"/>
        <v/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4</v>
      </c>
      <c r="HF23" s="36">
        <f t="shared" si="123"/>
        <v>5</v>
      </c>
      <c r="HG23" s="36">
        <f t="shared" si="124"/>
        <v>6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2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5</v>
      </c>
      <c r="HF24" s="36">
        <f t="shared" si="123"/>
        <v>4</v>
      </c>
      <c r="HG24" s="36" t="str">
        <f t="shared" si="124"/>
        <v>VL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3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6</v>
      </c>
      <c r="HF25" s="36" t="str">
        <f t="shared" si="123"/>
        <v>VL</v>
      </c>
      <c r="HG25" s="36">
        <f t="shared" si="124"/>
        <v>4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1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0</v>
      </c>
      <c r="HF26" s="36">
        <f t="shared" si="123"/>
        <v>0</v>
      </c>
      <c r="HG26" s="36">
        <f t="shared" si="124"/>
        <v>0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0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0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4</v>
      </c>
      <c r="HL39" s="36">
        <f>IF(HF23=0,"",HF23)</f>
        <v>5</v>
      </c>
      <c r="HM39" s="153">
        <f>IF(HG23=0,"",HG23)</f>
        <v>6</v>
      </c>
      <c r="HQ39" s="159" t="str">
        <f t="shared" si="125"/>
        <v>VOMELA Patrik</v>
      </c>
      <c r="HR39" s="160" t="str">
        <f t="shared" si="126"/>
        <v>H.Brod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5</v>
      </c>
      <c r="HL41" s="36">
        <f>IF(HF24=0,"",HF24)</f>
        <v>4</v>
      </c>
      <c r="HM41" s="153" t="str">
        <f>IF(HG24=0,"",HG24)</f>
        <v>VL</v>
      </c>
      <c r="HQ41" s="159" t="str">
        <f t="shared" si="125"/>
        <v>Brodacký Antonín</v>
      </c>
      <c r="HR41" s="160" t="str">
        <f t="shared" si="126"/>
        <v>Hod.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6</v>
      </c>
      <c r="HL43" s="36" t="str">
        <f>IF(HF25=0,"",HF25)</f>
        <v>VL</v>
      </c>
      <c r="HM43" s="153">
        <f>IF(HG25=0,"",HG25)</f>
        <v>4</v>
      </c>
      <c r="HQ43" s="159" t="str">
        <f t="shared" si="125"/>
        <v>Lukeš Mathyas</v>
      </c>
      <c r="HR43" s="160" t="str">
        <f t="shared" si="126"/>
        <v>Tichá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3</v>
      </c>
      <c r="Q45" s="241">
        <f t="shared" ref="Q45:Q60" si="167">IF($HF$2&lt;=5,"",(IF(AN153=0,"",AN153)))</f>
        <v>1</v>
      </c>
      <c r="HJ45" s="36">
        <f>HJ43+1</f>
        <v>20</v>
      </c>
      <c r="HK45" s="152" t="str">
        <f>IF(HE26=0,"",HE26)</f>
        <v/>
      </c>
      <c r="HL45" s="36" t="str">
        <f>IF(HF26=0,"",HF26)</f>
        <v/>
      </c>
      <c r="HM45" s="153" t="str">
        <f>IF(HG26=0,"",HG26)</f>
        <v/>
      </c>
      <c r="HQ45" s="159" t="str">
        <f t="shared" si="125"/>
        <v/>
      </c>
      <c r="HR45" s="160" t="str">
        <f t="shared" si="126"/>
        <v/>
      </c>
    </row>
    <row r="46" spans="1:259" x14ac:dyDescent="0.25">
      <c r="L46" s="36">
        <f t="shared" ref="L46:L60" si="168">AG154</f>
        <v>2</v>
      </c>
      <c r="M46" s="152">
        <f t="shared" si="164"/>
        <v>4</v>
      </c>
      <c r="N46" s="153">
        <f t="shared" si="165"/>
        <v>5</v>
      </c>
      <c r="P46" s="242">
        <f t="shared" si="166"/>
        <v>6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 t="str">
        <f t="shared" si="164"/>
        <v/>
      </c>
      <c r="N47" s="153" t="str">
        <f t="shared" si="165"/>
        <v/>
      </c>
      <c r="P47" s="242" t="str">
        <f t="shared" si="166"/>
        <v/>
      </c>
      <c r="Q47" s="243" t="str">
        <f t="shared" si="167"/>
        <v/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 t="str">
        <f t="shared" si="164"/>
        <v/>
      </c>
      <c r="N48" s="153" t="str">
        <f t="shared" si="165"/>
        <v/>
      </c>
      <c r="P48" s="242" t="str">
        <f t="shared" si="166"/>
        <v/>
      </c>
      <c r="Q48" s="243" t="str">
        <f t="shared" si="167"/>
        <v/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6</v>
      </c>
      <c r="AN149" s="36">
        <f>33-AK149</f>
        <v>27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3</v>
      </c>
      <c r="AN153" s="36">
        <f>INDEX($AH$131:$BH$146,AG153,$AN$149)</f>
        <v>1</v>
      </c>
    </row>
    <row r="154" spans="20:60" x14ac:dyDescent="0.25">
      <c r="AG154" s="36">
        <v>2</v>
      </c>
      <c r="AI154" s="36">
        <f t="shared" ref="AI154:AI168" si="287">INDEX($AH$71:$BH$86,AG154,$AN$149)</f>
        <v>4</v>
      </c>
      <c r="AJ154" s="36">
        <f t="shared" ref="AJ154:AJ168" si="288">INDEX($AH$91:$BH$106,AG154,$AN$149)</f>
        <v>5</v>
      </c>
      <c r="AM154" s="36">
        <f t="shared" ref="AM154:AM168" si="289">INDEX($AH$111:$BH$126,AG154,$AN$149)</f>
        <v>6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0</v>
      </c>
      <c r="AJ155" s="36">
        <f t="shared" si="288"/>
        <v>0</v>
      </c>
      <c r="AM155" s="36">
        <f t="shared" si="289"/>
        <v>0</v>
      </c>
      <c r="AN155" s="36">
        <f t="shared" si="290"/>
        <v>0</v>
      </c>
    </row>
    <row r="156" spans="20:60" x14ac:dyDescent="0.25">
      <c r="AG156" s="36">
        <v>4</v>
      </c>
      <c r="AI156" s="36">
        <f t="shared" si="287"/>
        <v>0</v>
      </c>
      <c r="AJ156" s="36">
        <f t="shared" si="288"/>
        <v>0</v>
      </c>
      <c r="AM156" s="36">
        <f t="shared" si="289"/>
        <v>0</v>
      </c>
      <c r="AN156" s="36">
        <f t="shared" si="290"/>
        <v>0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13" sqref="AC13:AC14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3</v>
      </c>
      <c r="CK2" s="36">
        <f>LARGE(CH7:CH22,CB7)</f>
        <v>3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6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2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A příp 47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v.s.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/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2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/>
      </c>
      <c r="AS6" s="53" t="str">
        <f>IF($Q$5="x",AN6,"")</f>
        <v/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1</v>
      </c>
      <c r="CF6" s="36">
        <f>CF2-((FLOOR(CF2/2,1))*2)</f>
        <v>1</v>
      </c>
      <c r="CK6" s="36">
        <f>CK2-((FLOOR(CK2/2,1))*2)</f>
        <v>1</v>
      </c>
      <c r="CO6" s="36">
        <f>SUM(CO7:CO22)</f>
        <v>3</v>
      </c>
      <c r="CU6" s="170" t="str">
        <f>BQ2</f>
        <v>VL</v>
      </c>
      <c r="CV6" s="171">
        <f>CV3-(FLOOR(CV3/2,1)*2)</f>
        <v>0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0</v>
      </c>
      <c r="EF6" s="36">
        <f>SUM(EF7:EF22)</f>
        <v>2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Pustowka Vojtěch</v>
      </c>
      <c r="B7" s="369" t="str">
        <f>'Vážní listina'!HR7</f>
        <v>Třin.</v>
      </c>
      <c r="C7" s="372" t="str">
        <f>IF(BP7="","",(IF(BP7&gt;1,$BH$2,"")))</f>
        <v>xxx</v>
      </c>
      <c r="D7" s="370">
        <f>'Vážní listina'!HK7</f>
        <v>1</v>
      </c>
      <c r="E7" s="371">
        <f>'Vážní listina'!HL7</f>
        <v>2</v>
      </c>
      <c r="F7" s="24">
        <v>0</v>
      </c>
      <c r="G7" s="25"/>
      <c r="H7" s="345">
        <f>IF(H5="","",('Vážní listina'!HM7))</f>
        <v>3</v>
      </c>
      <c r="I7" s="24">
        <v>0</v>
      </c>
      <c r="J7" s="25"/>
      <c r="K7" s="345" t="str">
        <f>IF(K5="","",DV7)</f>
        <v/>
      </c>
      <c r="L7" s="24"/>
      <c r="M7" s="25"/>
      <c r="N7" s="345" t="str">
        <f>IF(N5="","",FZ7)</f>
        <v/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0</v>
      </c>
      <c r="AA7" s="385">
        <f>IF(A7="","",(F8+I8+L8+O8+R8+U8+X8))</f>
        <v>0</v>
      </c>
      <c r="AB7" s="386">
        <f>IF(A7="","",(G7+J7+M7+P7+S7+V7+Y7))</f>
        <v>0</v>
      </c>
      <c r="AC7" s="387" t="str">
        <f>(HF80)</f>
        <v>F</v>
      </c>
      <c r="AD7" s="326"/>
      <c r="AE7" s="388">
        <f>IF(D7="","",(IF('Tabulka finále'!$BK$47=1,(IF('Tabulka finále'!$K$56="","",(IF($AC$5="","",(IF($H$5="","",(FW118))))))),"")))</f>
        <v>5</v>
      </c>
      <c r="AG7" s="251">
        <v>1</v>
      </c>
      <c r="AH7" s="138">
        <f>IF($K$5="","",(IF($H$5="x",CU7,"")))</f>
        <v>2</v>
      </c>
      <c r="AI7" s="176">
        <v>3</v>
      </c>
      <c r="AJ7" s="36">
        <f>IF($K$5="","",(IF(EB7="",(IF(AH7="","",(IF(CX7=$BQ$2,$BQ$2,IF((AI7)="","",AI7))))),EB7)))</f>
        <v>3</v>
      </c>
      <c r="AK7" s="149" t="str">
        <f>IF($K$5="","",(IF($H$5="","",(DM7))))</f>
        <v/>
      </c>
      <c r="AM7" s="138">
        <f>IF($N$5="x",EQ7,"")</f>
        <v>2</v>
      </c>
      <c r="AN7" s="176"/>
      <c r="AO7" s="36" t="str">
        <f t="shared" ref="AO7:AO22" si="3">IF($N$5="","",(IF(FR7="",(IF(AM7="","",(IF(FO7=$BQ$2,$BQ$2,IF((AN7)="","",AN7))))),FR7)))</f>
        <v/>
      </c>
      <c r="AP7" s="149" t="str">
        <f>IF($N$5="","",(FM7))</f>
        <v/>
      </c>
      <c r="AR7" s="138" t="str">
        <f>IF($Q$5="x",HS7,"")</f>
        <v/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1</v>
      </c>
      <c r="BI7" s="36">
        <f>IF(H7=$BQ$2,0,(IF(A7="","",(IF(I7="","",(IF(I7&lt;2,1,0)))))))</f>
        <v>1</v>
      </c>
      <c r="BJ7" s="36" t="str">
        <f>IF(L7="","",(IF(L7&lt;2,1,0)))</f>
        <v/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>xxx</v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2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3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3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2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2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2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2</v>
      </c>
      <c r="CU7" s="36">
        <f>IF(CT7=$BK$2,"",CT7)</f>
        <v>2</v>
      </c>
      <c r="CV7" s="36">
        <f>IF(CU7="",0,1)</f>
        <v>1</v>
      </c>
      <c r="CW7" s="36">
        <f>IF(CV7=CV8,0,1)*$CV$6</f>
        <v>0</v>
      </c>
      <c r="CX7" s="149">
        <f>IF(CW7=0,CU7,$BQ$2)</f>
        <v>2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>xxx</v>
      </c>
      <c r="DF7" s="36">
        <f>IF((ISNUMBER(AH7)),(INDEX($DA$7:$DA$22,AH7)),"")</f>
        <v>2</v>
      </c>
      <c r="DG7" s="36">
        <f>IF((ISNUMBER(AH7)),(INDEX($DB$7:$DB$22,AH7)),"")</f>
        <v>1</v>
      </c>
      <c r="DH7" s="36" t="str">
        <f>IF((ISNUMBER(AH7)),(INDEX($DC$7:$DC$22,AH7)),"")</f>
        <v>VL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2</v>
      </c>
      <c r="DP7" s="36">
        <f>AJ7</f>
        <v>3</v>
      </c>
      <c r="DR7" s="36" t="str">
        <f>IF(DN7=$DO$7,$DP$7,IF(DN7=$DO$8,$DP$8,IF(DN7=$DO$9,$DP$9,IF(DN7=$DO$10,$DP$10,IF(DN7=$DO$11,$DP$11,IF(DN7=$DO$12,$DP$12,IF(DN7=$DO$13,$DP$13,IF(DN7=$DO$14,$DP$14,""))))))))</f>
        <v/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 t="str">
        <f>IF(DR7="",DS7,DR7)</f>
        <v/>
      </c>
      <c r="DV7" s="36" t="str">
        <f>DT7</f>
        <v/>
      </c>
      <c r="DX7" s="152">
        <f>AH7</f>
        <v>2</v>
      </c>
      <c r="DY7" s="36">
        <f>IF(AI7="","",AI7)</f>
        <v>3</v>
      </c>
      <c r="DZ7" s="36">
        <f>IF(DX7="","",(IF(DY7="",(IF(DX7=$DY$7,$DX$7,IF(DX7=$DY$8,$DX$8,IF(DX7=$DY$9,$DX$9,IF(DX7=$DY$10,$DX$10,IF(DX7=$DY$11,$DX$11,IF(DX7=$DY$12,$DX$12,IF(DX7=$DY$13,$DX$13,IF(DX7=$DY$14,$DX$14,""))))))))),DY7)))</f>
        <v>3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3</v>
      </c>
      <c r="ED7" s="121">
        <v>1</v>
      </c>
      <c r="EE7" s="36">
        <f>CU7</f>
        <v>2</v>
      </c>
      <c r="EF7" s="36">
        <f>IF(EE7="",0,1)</f>
        <v>1</v>
      </c>
      <c r="EG7" s="36" t="str">
        <f>IF(SUM($BH7:$BJ7)=2,$BH$2,"")</f>
        <v>xxx</v>
      </c>
      <c r="EH7" s="36" t="str">
        <f>IF(EE7="","",(INDEX($EG$7:$EG$22,EE7)))</f>
        <v/>
      </c>
      <c r="EJ7" s="36">
        <f>IF(EE7="",$BK$2,(IF(EH7=$BH$2,$BK$2,ED7)))</f>
        <v>1</v>
      </c>
      <c r="EK7" s="36">
        <f>SMALL($EJ$7:$EJ$22,ED7)</f>
        <v>1</v>
      </c>
      <c r="EL7" s="36">
        <f>IF(EK7=$BK$2,"",(INDEX($EE$7:$EE$22,EK7)))</f>
        <v>2</v>
      </c>
      <c r="EM7" s="36">
        <f>IF(EK7=EK8,1,0)</f>
        <v>0</v>
      </c>
      <c r="EN7" s="36">
        <f>IF(EM7=EM8,0,1)</f>
        <v>0</v>
      </c>
      <c r="EO7" s="36" t="str">
        <f>IF(EL7="","",(IF(($EN$7*$CV$6)=1,$EL$7,IF(($EN$8*$CV$6)=1,$EL$8,IF(($EN$9*$CV$6)=1,$EL$9,IF(($EN$10*$CV$6)=1,$EL$10,IF(($EN$11*$CV$6)=1,$EL$11,IF(($EN$12*$CV$6)=1,$EL$12,IF(($EN$13*$CV$6)=1,$EL$13,IF(($EN$14*$CV$6)=1,$EL$14,""))))))))))</f>
        <v/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2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 t="str">
        <f>K7</f>
        <v/>
      </c>
      <c r="EZ7" s="36" t="str">
        <f>EG7</f>
        <v>xxx</v>
      </c>
      <c r="FB7" s="36">
        <f>EQ7</f>
        <v>2</v>
      </c>
      <c r="FC7" s="36" t="str">
        <f>IF(AN7="","",AN7)</f>
        <v/>
      </c>
      <c r="FD7" s="36">
        <f>IF(FB7="","",(INDEX($EW$7:$EW$22,FB7)))</f>
        <v>1</v>
      </c>
      <c r="FE7" s="36" t="str">
        <f>IF(FB7="","",(INDEX($EX$7:$EX$22,FB7)))</f>
        <v>VL</v>
      </c>
      <c r="FF7" s="36">
        <f>IF(FB7="","",(INDEX($EY$7:$EY$22,FB7)))</f>
        <v>3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2</v>
      </c>
      <c r="FO7" s="36" t="str">
        <f>IF(AN7="","",AN7)</f>
        <v/>
      </c>
      <c r="FP7" s="36" t="str">
        <f>IF(FN7="","",(IF(FO7="",(IF(FN7=$FO$7,$FN$7,IF(FN7=$FO$8,$FN$8,IF(FN7=$FO$9,$FN$9,IF(FN7=$FO$10,$FN$10,IF(FN7=$FO$11,$FN$11,IF(FN7=$FO$12,$FN$12,IF(FN7=$FO$13,$FN$13,IF(FN7=$FO$14,$FN$14,""))))))))),FO7)))</f>
        <v/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 t="str">
        <f t="shared" ref="FR7:FR22" si="8">IF(ET7="",(IF(FP7="",FQ7,FP7)),ET7)</f>
        <v/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 t="str">
        <f>IF(K7="","",K7)</f>
        <v/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0</v>
      </c>
      <c r="GN7" s="36">
        <f>IF(I7="","",I7)</f>
        <v>0</v>
      </c>
      <c r="GO7" s="36" t="str">
        <f>IF(L7="","",L7)</f>
        <v/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0</v>
      </c>
      <c r="GV7" s="36">
        <f>IF(I8="","",I8)</f>
        <v>0</v>
      </c>
      <c r="GW7" s="36" t="str">
        <f>IF(L8="","",L8)</f>
        <v/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2</v>
      </c>
      <c r="HF7" s="36">
        <f>IF(HE7="","",(INDEX($GD$7:$GD$22,HE7)))</f>
        <v>1</v>
      </c>
      <c r="HG7" s="36" t="str">
        <f>IF(HE7="","",(INDEX($GE$7:$GE$22,HE7)))</f>
        <v>VL</v>
      </c>
      <c r="HH7" s="36">
        <f>IF(HE7="","",(INDEX($GF$7:$GF$22,HE7)))</f>
        <v>3</v>
      </c>
      <c r="HI7" s="36" t="str">
        <f>IF(HE7="","",(INDEX($GG$7:$GG$22,HE7)))</f>
        <v/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2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2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1</v>
      </c>
      <c r="HY7" s="36" t="str">
        <f>IF(HS7="","",(INDEX($GE$7:$GE$22,$HS7)))</f>
        <v>VL</v>
      </c>
      <c r="HZ7" s="36">
        <f>IF(HS7="","",(INDEX($GF$7:$GF$22,$HS7)))</f>
        <v>3</v>
      </c>
      <c r="IA7" s="36" t="str">
        <f>IF(HS7="","",(INDEX($GG$7:$GG$22,$HS7)))</f>
        <v/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2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2</v>
      </c>
      <c r="IU7" s="36">
        <f>IF(IT7="","",(INDEX($GD$7:$GD$22,IT7)))</f>
        <v>1</v>
      </c>
      <c r="IV7" s="36" t="str">
        <f>IF($IT7="","",(INDEX($GE$7:$GE$22,$IT7)))</f>
        <v>VL</v>
      </c>
      <c r="IW7" s="36">
        <f>IF($IT7="","",(INDEX($GF$7:$GF$22,$IT7)))</f>
        <v>3</v>
      </c>
      <c r="IX7" s="36" t="str">
        <f>IF($IT7="","",(INDEX($GG$7:$GG$22,$IT7)))</f>
        <v/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2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2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1</v>
      </c>
      <c r="JN7" s="36" t="str">
        <f>IF(JH7="","",(INDEX($GE$7:$GE$22,$JH7)))</f>
        <v>VL</v>
      </c>
      <c r="JO7" s="36">
        <f>IF(JH7="","",(INDEX($GF$7:$GF$22,$JH7)))</f>
        <v>3</v>
      </c>
      <c r="JP7" s="36" t="str">
        <f>IF(JH7="","",(INDEX($GG$7:$GG$22,$JH7)))</f>
        <v/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2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2</v>
      </c>
      <c r="KK7" s="85">
        <f>IF(KJ7="","",(INDEX($GD$7:$GD$22,KJ7)))</f>
        <v>1</v>
      </c>
      <c r="KL7" s="85" t="str">
        <f>IF($KJ7="","",(INDEX($GE$7:$GE$22,$KJ7)))</f>
        <v>VL</v>
      </c>
      <c r="KM7" s="85">
        <f>IF($KJ7="","",(INDEX($GF$7:$GF$22,$KJ7)))</f>
        <v>3</v>
      </c>
      <c r="KN7" s="85" t="str">
        <f>IF($KJ7="","",(INDEX($GG$7:$GG$22,$KJ7)))</f>
        <v/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2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2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1</v>
      </c>
      <c r="LE7" s="85" t="str">
        <f>IF(KY7="","",(INDEX($GE$7:$GE$22,$KY7)))</f>
        <v>VL</v>
      </c>
      <c r="LF7" s="85">
        <f>IF(KY7="","",(INDEX($GF$7:$GF$22,$KY7)))</f>
        <v>3</v>
      </c>
      <c r="LG7" s="85" t="str">
        <f>IF(KY7="","",(INDEX($GG$7:$GG$22,$KY7)))</f>
        <v/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2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0</v>
      </c>
      <c r="G8" s="28"/>
      <c r="H8" s="346"/>
      <c r="I8" s="29">
        <v>0</v>
      </c>
      <c r="J8" s="28"/>
      <c r="K8" s="346"/>
      <c r="L8" s="29"/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3</v>
      </c>
      <c r="AI8" s="177"/>
      <c r="AJ8" s="36">
        <f t="shared" ref="AJ8:AJ17" si="14">IF($K$5="","",(IF(EB8="",(IF(AH8="","",(IF(CX8=$BQ$2,$BQ$2,IF((AI8)="","",AI8))))),EB8)))</f>
        <v>2</v>
      </c>
      <c r="AK8" s="149" t="str">
        <f t="shared" ref="AK8:AK18" si="15">IF($K$5="","",(IF($H$5="","",(DM8))))</f>
        <v/>
      </c>
      <c r="AM8" s="138">
        <f t="shared" ref="AM8:AM22" si="16">IF($N$5="x",EQ8,"")</f>
        <v>3</v>
      </c>
      <c r="AN8" s="177"/>
      <c r="AO8" s="36" t="str">
        <f t="shared" si="3"/>
        <v/>
      </c>
      <c r="AP8" s="149" t="str">
        <f t="shared" ref="AP8:AP18" si="17">IF($N$5="","",(FM8))</f>
        <v/>
      </c>
      <c r="AR8" s="138" t="str">
        <f t="shared" ref="AR8:AR18" si="18">IF($Q$5="x",HS8,"")</f>
        <v/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1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3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1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3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3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3</v>
      </c>
      <c r="CU8" s="36">
        <f t="shared" ref="CU8:CU22" si="37">IF(CT8=$BK$2,"",CT8)</f>
        <v>3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3</v>
      </c>
      <c r="DA8" s="36">
        <f>D9</f>
        <v>2</v>
      </c>
      <c r="DB8" s="36">
        <f>E9</f>
        <v>1</v>
      </c>
      <c r="DC8" s="36" t="str">
        <f>H9</f>
        <v>VL</v>
      </c>
      <c r="DD8" s="36" t="str">
        <f t="shared" ref="DD8:DD22" si="40">IF((C8)="","",C8)</f>
        <v/>
      </c>
      <c r="DF8" s="36">
        <f t="shared" ref="DF8:DF22" si="41">IF((ISNUMBER(AH8)),(INDEX($DA$7:$DA$22,AH8)),"")</f>
        <v>3</v>
      </c>
      <c r="DG8" s="36" t="str">
        <f t="shared" ref="DG8:DG22" si="42">IF((ISNUMBER(AH8)),(INDEX($DB$7:$DB$22,AH8)),"")</f>
        <v>VL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3</v>
      </c>
      <c r="DP8" s="36">
        <f t="shared" ref="DP8:DP22" si="48">AJ8</f>
        <v>2</v>
      </c>
      <c r="DR8" s="36">
        <f t="shared" ref="DR8:DR22" si="49">IF(DN8=$DO$7,$DP$7,IF(DN8=$DO$8,$DP$8,IF(DN8=$DO$9,$DP$9,IF(DN8=$DO$10,$DP$10,IF(DN8=$DO$11,$DP$11,IF(DN8=$DO$12,$DP$12,IF(DN8=$DO$13,$DP$13,IF(DN8=$DO$14,$DP$14,""))))))))</f>
        <v>3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3</v>
      </c>
      <c r="DX8" s="152">
        <f t="shared" ref="DX8:DX22" si="52">AH8</f>
        <v>3</v>
      </c>
      <c r="DY8" s="36" t="str">
        <f t="shared" ref="DY8:DY22" si="53">IF(AI8="","",AI8)</f>
        <v/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2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2</v>
      </c>
      <c r="ED8" s="122">
        <v>2</v>
      </c>
      <c r="EE8" s="36">
        <f t="shared" ref="EE8:EE22" si="57">CU8</f>
        <v>3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2</v>
      </c>
      <c r="EL8" s="36">
        <f t="shared" ref="EL8:EL22" si="62">IF(EK8=$BK$2,"",(INDEX($EE$7:$EE$22,EK8)))</f>
        <v>3</v>
      </c>
      <c r="EM8" s="36">
        <f t="shared" ref="EM8:EM22" si="63">IF(EK8=EK9,1,0)</f>
        <v>0</v>
      </c>
      <c r="EN8" s="36">
        <f t="shared" ref="EN8:EN22" si="64">IF(EM8=EM9,0,1)</f>
        <v>1</v>
      </c>
      <c r="EQ8" s="36">
        <f>IF(EL8="","",(IF($CV$6=0,EL8,EL7)))</f>
        <v>3</v>
      </c>
      <c r="ER8" s="36">
        <f t="shared" ref="ER8:ER22" si="65">IF(EQ8="",0,1)</f>
        <v>1</v>
      </c>
      <c r="ES8" s="36">
        <f t="shared" ref="ES8:ES22" si="66">IF(ER8=ER9,0,1)</f>
        <v>1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 t="str">
        <f>H9</f>
        <v>VL</v>
      </c>
      <c r="EY8" s="36">
        <f>K9</f>
        <v>3</v>
      </c>
      <c r="EZ8" s="36" t="str">
        <f t="shared" ref="EZ8:EZ22" si="68">EG8</f>
        <v/>
      </c>
      <c r="FB8" s="36">
        <f t="shared" ref="FB8:FB22" si="69">EQ8</f>
        <v>3</v>
      </c>
      <c r="FC8" s="36" t="str">
        <f t="shared" ref="FC8:FC22" si="70">IF(AN8="","",AN8)</f>
        <v/>
      </c>
      <c r="FD8" s="36" t="str">
        <f t="shared" ref="FD8:FD17" si="71">IF(FB8="","",(INDEX($EW$7:$EW$22,FB8)))</f>
        <v>VL</v>
      </c>
      <c r="FE8" s="36">
        <f t="shared" ref="FE8:FE17" si="72">IF(FB8="","",(INDEX($EX$7:$EX$22,FB8)))</f>
        <v>1</v>
      </c>
      <c r="FF8" s="36">
        <f t="shared" ref="FF8:FF17" si="73">IF(FB8="","",(INDEX($EY$7:$EY$22,FB8)))</f>
        <v>2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3</v>
      </c>
      <c r="FO8" s="36" t="str">
        <f t="shared" ref="FO8:FO22" si="80">IF(AN8="","",AN8)</f>
        <v/>
      </c>
      <c r="FP8" s="3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/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 t="str">
        <f>IF(H9="","",H9)</f>
        <v>VL</v>
      </c>
      <c r="GF8" s="36">
        <f>IF(K9="","",K9)</f>
        <v>3</v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/>
      </c>
      <c r="GM8" s="36">
        <f>IF(F9="","",F9)</f>
        <v>5</v>
      </c>
      <c r="GN8" s="36" t="str">
        <f>IF(I9="","",I9)</f>
        <v/>
      </c>
      <c r="GO8" s="36">
        <f>IF(L9="","",L9)</f>
        <v>0</v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6</v>
      </c>
      <c r="GV8" s="36" t="str">
        <f>IF(I10="","",I10)</f>
        <v/>
      </c>
      <c r="GW8" s="36">
        <f>IF(L10="","",L10)</f>
        <v>0</v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>
        <f t="shared" ref="HE8:HE22" si="86">FN8</f>
        <v>3</v>
      </c>
      <c r="HF8" s="36" t="str">
        <f t="shared" ref="HF8:HF22" si="87">IF(HE8="","",(INDEX($GD$7:$GD$22,HE8)))</f>
        <v>VL</v>
      </c>
      <c r="HG8" s="36">
        <f t="shared" ref="HG8:HG22" si="88">IF(HE8="","",(INDEX($GE$7:$GE$22,HE8)))</f>
        <v>1</v>
      </c>
      <c r="HH8" s="36">
        <f t="shared" ref="HH8:HH22" si="89">IF(HE8="","",(INDEX($GF$7:$GF$22,HE8)))</f>
        <v>2</v>
      </c>
      <c r="HI8" s="36" t="str">
        <f t="shared" ref="HI8:HI22" si="90">IF(HE8="","",(INDEX($GG$7:$GG$22,HE8)))</f>
        <v/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2</v>
      </c>
      <c r="HO8" s="36">
        <f t="shared" si="9"/>
        <v>3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3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 t="str">
        <f t="shared" ref="HX8:HX22" si="99">IF(HS8="","",(INDEX($GD$7:$GD$22,$HS8)))</f>
        <v>VL</v>
      </c>
      <c r="HY8" s="36">
        <f t="shared" ref="HY8:HY22" si="100">IF(HS8="","",(INDEX($GE$7:$GE$22,$HS8)))</f>
        <v>1</v>
      </c>
      <c r="HZ8" s="36">
        <f t="shared" ref="HZ8:HZ22" si="101">IF(HS8="","",(INDEX($GF$7:$GF$22,$HS8)))</f>
        <v>2</v>
      </c>
      <c r="IA8" s="36" t="str">
        <f t="shared" ref="IA8:IA22" si="102">IF(HS8="","",(INDEX($GG$7:$GG$22,$HS8)))</f>
        <v/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3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/>
      </c>
      <c r="IT8" s="36">
        <f t="shared" ref="IT8:IT22" si="112">HS8</f>
        <v>3</v>
      </c>
      <c r="IU8" s="36" t="str">
        <f t="shared" ref="IU8:IU22" si="113">IF(IT8="","",(INDEX($GD$7:$GD$22,IT8)))</f>
        <v>VL</v>
      </c>
      <c r="IV8" s="36">
        <f t="shared" ref="IV8:IV22" si="114">IF($IT8="","",(INDEX($GE$7:$GE$22,$IT8)))</f>
        <v>1</v>
      </c>
      <c r="IW8" s="36">
        <f t="shared" ref="IW8:IW22" si="115">IF($IT8="","",(INDEX($GF$7:$GF$22,$IT8)))</f>
        <v>2</v>
      </c>
      <c r="IX8" s="36" t="str">
        <f t="shared" ref="IX8:IX22" si="116">IF($IT8="","",(INDEX($GG$7:$GG$22,$IT8)))</f>
        <v/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3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3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 t="str">
        <f t="shared" ref="JM8:JM19" si="125">IF(JH8="","",(INDEX($GD$7:$GD$22,$JH8)))</f>
        <v>VL</v>
      </c>
      <c r="JN8" s="36">
        <f t="shared" ref="JN8:JN19" si="126">IF(JH8="","",(INDEX($GE$7:$GE$22,$JH8)))</f>
        <v>1</v>
      </c>
      <c r="JO8" s="36">
        <f t="shared" ref="JO8:JO19" si="127">IF(JH8="","",(INDEX($GF$7:$GF$22,$JH8)))</f>
        <v>2</v>
      </c>
      <c r="JP8" s="36" t="str">
        <f t="shared" ref="JP8:JP19" si="128">IF(JH8="","",(INDEX($GG$7:$GG$22,$JH8)))</f>
        <v/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3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/>
      </c>
      <c r="KJ8" s="36">
        <f t="shared" ref="KJ8:KJ22" si="137">JH8</f>
        <v>3</v>
      </c>
      <c r="KK8" s="36" t="str">
        <f t="shared" ref="KK8:KK22" si="138">IF(KJ8="","",(INDEX($GD$7:$GD$22,KJ8)))</f>
        <v>VL</v>
      </c>
      <c r="KL8" s="36">
        <f t="shared" ref="KL8:KL22" si="139">IF($KJ8="","",(INDEX($GE$7:$GE$22,$KJ8)))</f>
        <v>1</v>
      </c>
      <c r="KM8" s="36">
        <f t="shared" ref="KM8:KM22" si="140">IF($KJ8="","",(INDEX($GF$7:$GF$22,$KJ8)))</f>
        <v>2</v>
      </c>
      <c r="KN8" s="36" t="str">
        <f t="shared" ref="KN8:KN22" si="141">IF($KJ8="","",(INDEX($GG$7:$GG$22,$KJ8)))</f>
        <v/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3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3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 t="str">
        <f t="shared" ref="LD8:LD22" si="152">IF(KY8="","",(INDEX($GD$7:$GD$22,$KY8)))</f>
        <v>VL</v>
      </c>
      <c r="LE8" s="36">
        <f t="shared" ref="LE8:LE22" si="153">IF(KY8="","",(INDEX($GE$7:$GE$22,$KY8)))</f>
        <v>1</v>
      </c>
      <c r="LF8" s="36">
        <f t="shared" ref="LF8:LF22" si="154">IF(KY8="","",(INDEX($GF$7:$GF$22,$KY8)))</f>
        <v>2</v>
      </c>
      <c r="LG8" s="36" t="str">
        <f t="shared" ref="LG8:LG22" si="155">IF(KY8="","",(INDEX($GG$7:$GG$22,$KY8)))</f>
        <v/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3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Kačmařík Adam</v>
      </c>
      <c r="B9" s="359" t="str">
        <f>'Vážní listina'!HR9</f>
        <v>Jabl.</v>
      </c>
      <c r="C9" s="363" t="str">
        <f>IF(BP9="","",(IF(BP9&gt;1,$BH$2,"")))</f>
        <v/>
      </c>
      <c r="D9" s="361">
        <f>'Vážní listina'!HK9</f>
        <v>2</v>
      </c>
      <c r="E9" s="343">
        <f>'Vážní listina'!HL9</f>
        <v>1</v>
      </c>
      <c r="F9" s="26">
        <v>5</v>
      </c>
      <c r="G9" s="32"/>
      <c r="H9" s="334" t="str">
        <f>IF(H5="","",'Vážní listina'!HM9)</f>
        <v>VL</v>
      </c>
      <c r="I9" s="26"/>
      <c r="J9" s="32"/>
      <c r="K9" s="334">
        <f>IF(K5="","",DV9)</f>
        <v>3</v>
      </c>
      <c r="L9" s="26">
        <v>0</v>
      </c>
      <c r="M9" s="32"/>
      <c r="N9" s="334" t="str">
        <f>IF(N5="","",FZ9)</f>
        <v/>
      </c>
      <c r="O9" s="26"/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5</v>
      </c>
      <c r="AA9" s="335">
        <f>IF(A9="","",(F10+I10+L10+O10+R10+U10+X10))</f>
        <v>6</v>
      </c>
      <c r="AB9" s="336">
        <f>IF(A9="","",(G9+J9+M9+P9+S9+V9+Y9))</f>
        <v>0</v>
      </c>
      <c r="AC9" s="356" t="str">
        <f>HF82</f>
        <v>F</v>
      </c>
      <c r="AD9" s="328"/>
      <c r="AE9" s="328">
        <f>IF(D9="","",(IF('Tabulka finále'!$BK$47=1,(IF('Tabulka finále'!$K$56="","",(IF($AC$5="","",(IF($H$5="","",(FW120))))))),"")))</f>
        <v>3</v>
      </c>
      <c r="AG9" s="252">
        <v>3</v>
      </c>
      <c r="AH9" s="138" t="str">
        <f t="shared" si="13"/>
        <v/>
      </c>
      <c r="AI9" s="177"/>
      <c r="AJ9" s="36" t="str">
        <f t="shared" si="14"/>
        <v/>
      </c>
      <c r="AK9" s="149" t="str">
        <f t="shared" si="15"/>
        <v/>
      </c>
      <c r="AM9" s="138" t="str">
        <f t="shared" si="16"/>
        <v/>
      </c>
      <c r="AN9" s="177"/>
      <c r="AO9" s="36" t="str">
        <f t="shared" si="3"/>
        <v/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0</v>
      </c>
      <c r="BI9" s="36">
        <f>IF(H9=$BQ$2,0,(IF(A9="","",(IF(I9="","",(IF(I9&lt;2,1,0)))))))</f>
        <v>0</v>
      </c>
      <c r="BJ9" s="36">
        <f>IF(L9="","",(IF(L9&lt;2,1,0)))</f>
        <v>1</v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1</v>
      </c>
      <c r="BR9" s="36">
        <f>BP11</f>
        <v>0</v>
      </c>
      <c r="BS9" s="36">
        <f>D11</f>
        <v>3</v>
      </c>
      <c r="BT9" s="36" t="str">
        <f>IF(SUM(BH11,BI11)=2,$BH$2,"")</f>
        <v/>
      </c>
      <c r="BV9" s="36">
        <f t="shared" si="5"/>
        <v>2</v>
      </c>
      <c r="BW9" s="36">
        <f t="shared" si="25"/>
        <v>1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1</v>
      </c>
      <c r="CH9" s="36">
        <f t="shared" ref="CH9:CH22" si="169">IF(CC9=0,0,(IF($CF$6=0,CC9,CC8)))</f>
        <v>2</v>
      </c>
      <c r="CI9" s="36">
        <f t="shared" si="29"/>
        <v>1</v>
      </c>
      <c r="CJ9" s="36">
        <f t="shared" si="30"/>
        <v>1</v>
      </c>
      <c r="CM9" s="36">
        <f t="shared" ref="CM9:CM22" si="170">IF(CH9=0,0,(IF($CK$6=0,CH9,CH8)))</f>
        <v>1</v>
      </c>
      <c r="CO9" s="36">
        <f t="shared" si="31"/>
        <v>1</v>
      </c>
      <c r="CP9" s="36" t="str">
        <f t="shared" si="32"/>
        <v>xxx</v>
      </c>
      <c r="CQ9" s="36">
        <f t="shared" si="33"/>
        <v>1</v>
      </c>
      <c r="CR9" s="36">
        <f t="shared" si="34"/>
        <v>999</v>
      </c>
      <c r="CS9" s="36">
        <f t="shared" si="35"/>
        <v>4</v>
      </c>
      <c r="CT9" s="36">
        <f t="shared" si="36"/>
        <v>999</v>
      </c>
      <c r="CU9" s="36" t="str">
        <f t="shared" si="37"/>
        <v/>
      </c>
      <c r="CV9" s="36">
        <f t="shared" si="38"/>
        <v>0</v>
      </c>
      <c r="CW9" s="36">
        <f t="shared" si="39"/>
        <v>0</v>
      </c>
      <c r="CX9" s="149" t="str">
        <f t="shared" ref="CX9:CX22" si="171">IF(CW9=0,CU9,$BQ$2)</f>
        <v/>
      </c>
      <c r="DA9" s="36">
        <f>D11</f>
        <v>3</v>
      </c>
      <c r="DB9" s="36" t="str">
        <f>E11</f>
        <v>VL</v>
      </c>
      <c r="DC9" s="36">
        <f>H11</f>
        <v>1</v>
      </c>
      <c r="DD9" s="36" t="str">
        <f t="shared" si="40"/>
        <v/>
      </c>
      <c r="DF9" s="36" t="str">
        <f t="shared" si="41"/>
        <v/>
      </c>
      <c r="DG9" s="36" t="str">
        <f t="shared" si="42"/>
        <v/>
      </c>
      <c r="DH9" s="36" t="str">
        <f t="shared" si="43"/>
        <v/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 t="str">
        <f t="shared" si="47"/>
        <v/>
      </c>
      <c r="DP9" s="36" t="str">
        <f t="shared" si="48"/>
        <v/>
      </c>
      <c r="DR9" s="36">
        <f t="shared" si="49"/>
        <v>2</v>
      </c>
      <c r="DS9" s="36" t="str">
        <f t="shared" si="50"/>
        <v/>
      </c>
      <c r="DT9" s="36">
        <f t="shared" si="51"/>
        <v>2</v>
      </c>
      <c r="DV9" s="36">
        <f>DT8</f>
        <v>3</v>
      </c>
      <c r="DX9" s="152" t="str">
        <f t="shared" si="52"/>
        <v/>
      </c>
      <c r="DY9" s="36" t="str">
        <f t="shared" si="53"/>
        <v/>
      </c>
      <c r="DZ9" s="36" t="str">
        <f t="shared" si="54"/>
        <v/>
      </c>
      <c r="EA9" s="36" t="str">
        <f t="shared" si="55"/>
        <v/>
      </c>
      <c r="EB9" s="173" t="str">
        <f t="shared" si="56"/>
        <v/>
      </c>
      <c r="ED9" s="122">
        <v>3</v>
      </c>
      <c r="EE9" s="36" t="str">
        <f t="shared" si="57"/>
        <v/>
      </c>
      <c r="EF9" s="36">
        <f t="shared" si="58"/>
        <v>0</v>
      </c>
      <c r="EG9" s="36" t="str">
        <f>IF(SUM($BH11:$BJ11)=2,$BH$2,"")</f>
        <v/>
      </c>
      <c r="EH9" s="36" t="str">
        <f t="shared" si="59"/>
        <v/>
      </c>
      <c r="EJ9" s="36">
        <f t="shared" si="60"/>
        <v>999</v>
      </c>
      <c r="EK9" s="36">
        <f t="shared" si="61"/>
        <v>999</v>
      </c>
      <c r="EL9" s="36" t="str">
        <f t="shared" si="62"/>
        <v/>
      </c>
      <c r="EM9" s="36">
        <f t="shared" si="63"/>
        <v>1</v>
      </c>
      <c r="EN9" s="36">
        <f t="shared" si="64"/>
        <v>0</v>
      </c>
      <c r="EQ9" s="36" t="str">
        <f t="shared" ref="EQ9:EQ22" si="172">IF(EL9="","",(IF($CV$6=0,EL9,EL8)))</f>
        <v/>
      </c>
      <c r="ER9" s="36">
        <f t="shared" si="65"/>
        <v>0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 t="str">
        <f>E11</f>
        <v>VL</v>
      </c>
      <c r="EX9" s="36">
        <f>H11</f>
        <v>1</v>
      </c>
      <c r="EY9" s="36">
        <f>K11</f>
        <v>2</v>
      </c>
      <c r="EZ9" s="36" t="str">
        <f t="shared" si="68"/>
        <v/>
      </c>
      <c r="FB9" s="36" t="str">
        <f t="shared" si="69"/>
        <v/>
      </c>
      <c r="FC9" s="36" t="str">
        <f t="shared" si="70"/>
        <v/>
      </c>
      <c r="FD9" s="36" t="str">
        <f t="shared" si="71"/>
        <v/>
      </c>
      <c r="FE9" s="36" t="str">
        <f t="shared" si="72"/>
        <v/>
      </c>
      <c r="FF9" s="36" t="str">
        <f t="shared" si="73"/>
        <v/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 t="str">
        <f t="shared" si="79"/>
        <v/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/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 t="str">
        <f>IF(E11="","",E11)</f>
        <v>VL</v>
      </c>
      <c r="GE9" s="36">
        <f>IF(H11="","",H11)</f>
        <v>1</v>
      </c>
      <c r="GF9" s="36">
        <f>IF(K11="","",K11)</f>
        <v>2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/>
      </c>
      <c r="GM9" s="36" t="str">
        <f>IF(F11="","",F11)</f>
        <v/>
      </c>
      <c r="GN9" s="36">
        <f>IF(I11="","",I11)</f>
        <v>5</v>
      </c>
      <c r="GO9" s="36">
        <f>IF(L11="","",L11)</f>
        <v>5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 t="str">
        <f>IF(F12="","",F12)</f>
        <v/>
      </c>
      <c r="GV9" s="36">
        <f>IF(I12="","",I12)</f>
        <v>4</v>
      </c>
      <c r="GW9" s="36">
        <f>IF(L12="","",L12)</f>
        <v>6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/>
      </c>
      <c r="HE9" s="36" t="str">
        <f t="shared" si="86"/>
        <v/>
      </c>
      <c r="HF9" s="36" t="str">
        <f t="shared" si="87"/>
        <v/>
      </c>
      <c r="HG9" s="36" t="str">
        <f t="shared" si="88"/>
        <v/>
      </c>
      <c r="HH9" s="36" t="str">
        <f t="shared" si="89"/>
        <v/>
      </c>
      <c r="HI9" s="36" t="str">
        <f t="shared" si="90"/>
        <v/>
      </c>
      <c r="HK9" s="36" t="str">
        <f t="shared" si="91"/>
        <v/>
      </c>
      <c r="HM9" s="36">
        <f t="shared" si="92"/>
        <v>999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/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/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6</v>
      </c>
      <c r="G10" s="30"/>
      <c r="H10" s="334"/>
      <c r="I10" s="29"/>
      <c r="J10" s="30"/>
      <c r="K10" s="334"/>
      <c r="L10" s="29">
        <v>0</v>
      </c>
      <c r="M10" s="30"/>
      <c r="N10" s="334"/>
      <c r="O10" s="29"/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 t="str">
        <f t="shared" si="13"/>
        <v/>
      </c>
      <c r="AI10" s="177"/>
      <c r="AJ10" s="36" t="str">
        <f t="shared" si="14"/>
        <v/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 t="str">
        <f>BP13</f>
        <v/>
      </c>
      <c r="BS10" s="36" t="str">
        <f>D13</f>
        <v/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0</v>
      </c>
      <c r="CD10" s="36">
        <f t="shared" si="27"/>
        <v>0</v>
      </c>
      <c r="CE10" s="36">
        <f t="shared" si="28"/>
        <v>0</v>
      </c>
      <c r="CH10" s="36">
        <f t="shared" si="169"/>
        <v>0</v>
      </c>
      <c r="CI10" s="36">
        <f t="shared" si="29"/>
        <v>0</v>
      </c>
      <c r="CJ10" s="36">
        <f t="shared" si="30"/>
        <v>0</v>
      </c>
      <c r="CM10" s="36">
        <f t="shared" si="170"/>
        <v>0</v>
      </c>
      <c r="CO10" s="36">
        <f t="shared" si="31"/>
        <v>0</v>
      </c>
      <c r="CP10" s="36" t="str">
        <f t="shared" si="32"/>
        <v/>
      </c>
      <c r="CQ10" s="36">
        <f t="shared" si="33"/>
        <v>999</v>
      </c>
      <c r="CR10" s="36">
        <f t="shared" si="34"/>
        <v>4</v>
      </c>
      <c r="CS10" s="36">
        <f t="shared" si="35"/>
        <v>5</v>
      </c>
      <c r="CT10" s="36">
        <f t="shared" si="36"/>
        <v>999</v>
      </c>
      <c r="CU10" s="36" t="str">
        <f t="shared" si="37"/>
        <v/>
      </c>
      <c r="CV10" s="36">
        <f t="shared" si="38"/>
        <v>0</v>
      </c>
      <c r="CW10" s="36">
        <f t="shared" si="39"/>
        <v>0</v>
      </c>
      <c r="CX10" s="149" t="str">
        <f t="shared" si="171"/>
        <v/>
      </c>
      <c r="DA10" s="36" t="str">
        <f>D13</f>
        <v/>
      </c>
      <c r="DB10" s="36" t="str">
        <f>E13</f>
        <v/>
      </c>
      <c r="DC10" s="36" t="str">
        <f>H13</f>
        <v/>
      </c>
      <c r="DD10" s="36" t="str">
        <f t="shared" si="40"/>
        <v/>
      </c>
      <c r="DF10" s="36" t="str">
        <f t="shared" si="41"/>
        <v/>
      </c>
      <c r="DG10" s="36" t="str">
        <f t="shared" si="42"/>
        <v/>
      </c>
      <c r="DH10" s="36" t="str">
        <f t="shared" si="43"/>
        <v/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 t="str">
        <f t="shared" si="46"/>
        <v/>
      </c>
      <c r="DO10" s="36" t="str">
        <f t="shared" si="47"/>
        <v/>
      </c>
      <c r="DP10" s="36" t="str">
        <f t="shared" si="48"/>
        <v/>
      </c>
      <c r="DR10" s="36" t="str">
        <f t="shared" si="49"/>
        <v/>
      </c>
      <c r="DS10" s="36" t="str">
        <f t="shared" si="50"/>
        <v/>
      </c>
      <c r="DT10" s="36" t="str">
        <f t="shared" si="51"/>
        <v/>
      </c>
      <c r="DX10" s="152" t="str">
        <f t="shared" si="52"/>
        <v/>
      </c>
      <c r="DY10" s="36" t="str">
        <f t="shared" si="53"/>
        <v/>
      </c>
      <c r="DZ10" s="36" t="str">
        <f t="shared" si="54"/>
        <v/>
      </c>
      <c r="EA10" s="36" t="str">
        <f t="shared" si="55"/>
        <v/>
      </c>
      <c r="EB10" s="173" t="str">
        <f t="shared" si="56"/>
        <v/>
      </c>
      <c r="ED10" s="122">
        <v>4</v>
      </c>
      <c r="EE10" s="36" t="str">
        <f t="shared" si="57"/>
        <v/>
      </c>
      <c r="EF10" s="36">
        <f t="shared" si="58"/>
        <v>0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999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 t="str">
        <f>D13</f>
        <v/>
      </c>
      <c r="EW10" s="36" t="str">
        <f>E13</f>
        <v/>
      </c>
      <c r="EX10" s="36" t="str">
        <f>H13</f>
        <v/>
      </c>
      <c r="EY10" s="36" t="str">
        <f>K13</f>
        <v/>
      </c>
      <c r="EZ10" s="36" t="str">
        <f t="shared" si="68"/>
        <v/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 t="str">
        <f>IF(D13="","",D13)</f>
        <v/>
      </c>
      <c r="GD10" s="36" t="str">
        <f>IF(E13="","",E13)</f>
        <v/>
      </c>
      <c r="GE10" s="36" t="str">
        <f>IF(H13="","",H13)</f>
        <v/>
      </c>
      <c r="GF10" s="36" t="str">
        <f>IF(K13="","",K13)</f>
        <v/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 t="str">
        <f>IF(F13="","",F13)</f>
        <v/>
      </c>
      <c r="GN10" s="36" t="str">
        <f>IF(I13="","",I13)</f>
        <v/>
      </c>
      <c r="GO10" s="36" t="str">
        <f>IF(L13="","",L13)</f>
        <v/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 t="str">
        <f>IF(F14="","",F14)</f>
        <v/>
      </c>
      <c r="GV10" s="36" t="str">
        <f>IF(I14="","",I14)</f>
        <v/>
      </c>
      <c r="GW10" s="36" t="str">
        <f>IF(L14="","",L14)</f>
        <v/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Theodor Brož</v>
      </c>
      <c r="B11" s="359" t="str">
        <f>'Vážní listina'!HR11</f>
        <v>N.Jič.</v>
      </c>
      <c r="C11" s="363" t="str">
        <f>IF(BP11="","",(IF(BP11&gt;1,$BH$2,"")))</f>
        <v/>
      </c>
      <c r="D11" s="361">
        <f>'Vážní listina'!HK11</f>
        <v>3</v>
      </c>
      <c r="E11" s="343" t="str">
        <f>'Vážní listina'!HL11</f>
        <v>VL</v>
      </c>
      <c r="F11" s="26"/>
      <c r="G11" s="33"/>
      <c r="H11" s="343">
        <f>IF(H5="","",'Vážní listina'!HM11)</f>
        <v>1</v>
      </c>
      <c r="I11" s="26">
        <v>5</v>
      </c>
      <c r="J11" s="33"/>
      <c r="K11" s="334">
        <f>IF(K5="","",DV11)</f>
        <v>2</v>
      </c>
      <c r="L11" s="26">
        <v>5</v>
      </c>
      <c r="M11" s="33"/>
      <c r="N11" s="334" t="str">
        <f>IF(N5="","",FZ11)</f>
        <v/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10</v>
      </c>
      <c r="AA11" s="335">
        <f>IF(A11="","",(F12+I12+L12+O12+R12+U12+X12))</f>
        <v>10</v>
      </c>
      <c r="AB11" s="336">
        <f>IF(A11="","",(G11+J11+M11+P11+S11+V11+Y11))</f>
        <v>0</v>
      </c>
      <c r="AC11" s="356" t="str">
        <f>HF84</f>
        <v>F</v>
      </c>
      <c r="AD11" s="329"/>
      <c r="AE11" s="328">
        <f>IF(D11="","",(IF('Tabulka finále'!$BK$47=1,(IF('Tabulka finále'!$K$56="","",(IF($AC$5="","",(IF($H$5="","",(FW122))))))),"")))</f>
        <v>2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0</v>
      </c>
      <c r="BI11" s="36">
        <f>IF(H11=$BQ$2,0,(IF(A11="","",(IF(I11="","",(IF(I11&lt;2,1,0)))))))</f>
        <v>0</v>
      </c>
      <c r="BJ11" s="36">
        <f>IF(L11="","",(IF(L11&lt;2,1,0)))</f>
        <v>0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0</v>
      </c>
      <c r="BR11" s="36" t="str">
        <f>BP15</f>
        <v/>
      </c>
      <c r="BS11" s="36" t="str">
        <f>D15</f>
        <v/>
      </c>
      <c r="BT11" s="36" t="str">
        <f>IF(SUM(BH15,BI15)=2,$BH$2,"")</f>
        <v/>
      </c>
      <c r="BV11" s="36">
        <f t="shared" si="5"/>
        <v>3</v>
      </c>
      <c r="BW11" s="36">
        <f t="shared" si="25"/>
        <v>0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0</v>
      </c>
      <c r="CD11" s="36">
        <f t="shared" si="27"/>
        <v>0</v>
      </c>
      <c r="CE11" s="36">
        <f t="shared" si="28"/>
        <v>0</v>
      </c>
      <c r="CH11" s="36">
        <f t="shared" si="169"/>
        <v>0</v>
      </c>
      <c r="CI11" s="36">
        <f t="shared" si="29"/>
        <v>0</v>
      </c>
      <c r="CJ11" s="36">
        <f t="shared" si="30"/>
        <v>0</v>
      </c>
      <c r="CM11" s="36">
        <f t="shared" si="170"/>
        <v>0</v>
      </c>
      <c r="CO11" s="36">
        <f t="shared" si="31"/>
        <v>0</v>
      </c>
      <c r="CP11" s="36" t="str">
        <f t="shared" si="32"/>
        <v/>
      </c>
      <c r="CQ11" s="36">
        <f t="shared" si="33"/>
        <v>999</v>
      </c>
      <c r="CR11" s="36">
        <f t="shared" si="34"/>
        <v>5</v>
      </c>
      <c r="CS11" s="36">
        <f t="shared" si="35"/>
        <v>6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 t="str">
        <f>D15</f>
        <v/>
      </c>
      <c r="DB11" s="36" t="str">
        <f>E15</f>
        <v/>
      </c>
      <c r="DC11" s="36" t="str">
        <f>H15</f>
        <v/>
      </c>
      <c r="DD11" s="36" t="str">
        <f t="shared" si="40"/>
        <v/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 t="str">
        <f t="shared" si="46"/>
        <v/>
      </c>
      <c r="DO11" s="36" t="str">
        <f t="shared" si="47"/>
        <v/>
      </c>
      <c r="DP11" s="36" t="str">
        <f t="shared" si="48"/>
        <v/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>
        <f>DT9</f>
        <v>2</v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 t="str">
        <f>D15</f>
        <v/>
      </c>
      <c r="EW11" s="36" t="str">
        <f>E15</f>
        <v/>
      </c>
      <c r="EX11" s="36" t="str">
        <f>H15</f>
        <v/>
      </c>
      <c r="EY11" s="36" t="str">
        <f>K15</f>
        <v/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 t="str">
        <f>IF(D15="","",D15)</f>
        <v/>
      </c>
      <c r="GD11" s="36" t="str">
        <f>IF(E15="","",E15)</f>
        <v/>
      </c>
      <c r="GE11" s="36" t="str">
        <f>IF(H15="","",H15)</f>
        <v/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 t="str">
        <f>IF(I15="","",I15)</f>
        <v/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 t="str">
        <f>IF(I16="","",I16)</f>
        <v/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/>
      <c r="G12" s="30"/>
      <c r="H12" s="346"/>
      <c r="I12" s="29">
        <v>4</v>
      </c>
      <c r="J12" s="30"/>
      <c r="K12" s="334"/>
      <c r="L12" s="29">
        <v>6</v>
      </c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7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/>
      </c>
      <c r="B13" s="359" t="str">
        <f>'Vážní listina'!HR13</f>
        <v/>
      </c>
      <c r="C13" s="363" t="str">
        <f>IF(BP13="","",(IF(BP13&gt;1,$BH$2,"")))</f>
        <v/>
      </c>
      <c r="D13" s="361" t="str">
        <f>'Vážní listina'!HK13</f>
        <v/>
      </c>
      <c r="E13" s="343" t="str">
        <f>'Vážní listina'!HL13</f>
        <v/>
      </c>
      <c r="F13" s="26"/>
      <c r="G13" s="32"/>
      <c r="H13" s="334" t="str">
        <f>IF(H5="","",'Vážní listina'!HM13)</f>
        <v/>
      </c>
      <c r="I13" s="26"/>
      <c r="J13" s="32"/>
      <c r="K13" s="334" t="str">
        <f>IF(K5="","",DV13)</f>
        <v/>
      </c>
      <c r="L13" s="26"/>
      <c r="M13" s="32"/>
      <c r="N13" s="334" t="str">
        <f>IF(N5="","",FZ13)</f>
        <v/>
      </c>
      <c r="O13" s="26"/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 t="str">
        <f>IF(A13="","",(F13+I13+L13+O13+R13+U13+X13))</f>
        <v/>
      </c>
      <c r="AA13" s="335" t="str">
        <f>IF(A13="","",(F14+I14+L14+O14+R14+U14+X14))</f>
        <v/>
      </c>
      <c r="AB13" s="336" t="str">
        <f>IF(A13="","",(G13+J13+M13+P13+S13+V13+Y13))</f>
        <v/>
      </c>
      <c r="AC13" s="356" t="str">
        <f>HF86</f>
        <v/>
      </c>
      <c r="AD13" s="328"/>
      <c r="AE13" s="328" t="str">
        <f>IF(D13="","",(IF('Tabulka finále'!$BK$47=1,(IF('Tabulka finále'!$K$56="","",(IF($AC$5="","",(IF($H$5="","",(FW124))))))),"")))</f>
        <v/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0</v>
      </c>
      <c r="BH13" s="36" t="str">
        <f>(IF(E13="","",(IF(E13=$BQ$2,0,(IF(A13="","",(IF(F13="","",(IF(F13&lt;2,1,0))))))))))</f>
        <v/>
      </c>
      <c r="BI13" s="36" t="str">
        <f>IF(H13=$BQ$2,0,(IF(A13="","",(IF(I13="","",(IF(I13&lt;2,1,0)))))))</f>
        <v/>
      </c>
      <c r="BJ13" s="36" t="str">
        <f>IF(L13="","",(IF(L13&lt;2,1,0)))</f>
        <v/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 t="str">
        <f>IF(BG13=0,"",(SUM(BH13:BN13)))</f>
        <v/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8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 t="str">
        <f>DT10</f>
        <v/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/>
      <c r="G14" s="30"/>
      <c r="H14" s="334"/>
      <c r="I14" s="29"/>
      <c r="J14" s="30"/>
      <c r="K14" s="334"/>
      <c r="L14" s="29"/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9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/>
      </c>
      <c r="B15" s="359" t="str">
        <f>'Vážní listina'!HR15</f>
        <v/>
      </c>
      <c r="C15" s="363" t="str">
        <f>IF(BP15="","",(IF(BP15&gt;1,$BH$2,"")))</f>
        <v/>
      </c>
      <c r="D15" s="361" t="str">
        <f>'Vážní listina'!HK15</f>
        <v/>
      </c>
      <c r="E15" s="343" t="str">
        <f>'Vážní listina'!HL15</f>
        <v/>
      </c>
      <c r="F15" s="26"/>
      <c r="G15" s="33"/>
      <c r="H15" s="343" t="str">
        <f>IF(H5="","",'Vážní listina'!HM15)</f>
        <v/>
      </c>
      <c r="I15" s="26"/>
      <c r="J15" s="33"/>
      <c r="K15" s="334" t="str">
        <f>IF(K5="","",DV15)</f>
        <v/>
      </c>
      <c r="L15" s="26"/>
      <c r="M15" s="33"/>
      <c r="N15" s="334" t="str">
        <f>IF(N5="","",FZ15)</f>
        <v/>
      </c>
      <c r="O15" s="26"/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 t="str">
        <f>IF(A15="","",(F15+I15+L15+O15+R15+U15+X15))</f>
        <v/>
      </c>
      <c r="AA15" s="335" t="str">
        <f>IF(A15="","",(F16+I16+L16+O16+R16+U16+X16))</f>
        <v/>
      </c>
      <c r="AB15" s="336" t="str">
        <f>IF(A15="","",(G15+J15+M15+P15+S15+V15+Y15))</f>
        <v/>
      </c>
      <c r="AC15" s="356" t="str">
        <f>HF88</f>
        <v/>
      </c>
      <c r="AD15" s="329"/>
      <c r="AE15" s="328" t="str">
        <f>IF(D15="","",((IF('Tabulka finále'!$BK$47=1,(IF('Tabulka finále'!$K$56="","",(IF($AC$5="","",(IF($H$5="","",(FW126))))))),""))))</f>
        <v/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0</v>
      </c>
      <c r="BH15" s="36" t="str">
        <f>(IF(E15="","",(IF(E15=$BQ$2,0,(IF(A15="","",(IF(F15="","",(IF(F15&lt;2,1,0))))))))))</f>
        <v/>
      </c>
      <c r="BI15" s="36" t="str">
        <f>IF(H15=$BQ$2,0,(IF(A15="","",(IF(I15="","",(IF(I15&lt;2,1,0)))))))</f>
        <v/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 t="str">
        <f>IF(BG15=0,"",(SUM(BH15:BN15)))</f>
        <v/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10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/>
      <c r="J16" s="30"/>
      <c r="K16" s="334"/>
      <c r="L16" s="29"/>
      <c r="M16" s="30"/>
      <c r="N16" s="334"/>
      <c r="O16" s="29"/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11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12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13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14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15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16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3</v>
      </c>
      <c r="CK35" s="36">
        <f>SUM(CI40:CI55)</f>
        <v>3</v>
      </c>
      <c r="CV35" s="36">
        <f>SUM(CV40:CV55)</f>
        <v>3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1</v>
      </c>
      <c r="DF36" s="36">
        <f>CO6</f>
        <v>3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3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3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3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3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/>
      </c>
      <c r="AS39" s="53" t="str">
        <f>IF($Q$5="x",AN39,"")</f>
        <v/>
      </c>
      <c r="AT39" s="53"/>
      <c r="AU39" s="172"/>
      <c r="AV39" s="53"/>
      <c r="AW39" s="138" t="str">
        <f>IF($Q$5="x",AR39,"")</f>
        <v/>
      </c>
      <c r="AX39" s="53" t="str">
        <f>IF($Q$5="x",AS39,"")</f>
        <v/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3</v>
      </c>
      <c r="CU39" s="170" t="str">
        <f>CU6</f>
        <v>VL</v>
      </c>
      <c r="CV39" s="171">
        <f>$CV$35-((FLOOR(CV35/2,1))*2)</f>
        <v>1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1</v>
      </c>
      <c r="EF39" s="36">
        <f>SUM(EF40:EF55)</f>
        <v>3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VOMELA Patrik</v>
      </c>
      <c r="B40" s="373" t="str">
        <f>'Vážní listina'!HR39</f>
        <v>H.Brod</v>
      </c>
      <c r="C40" s="372" t="str">
        <f>IF(BP40="","",(IF(BP40&gt;1,$BH$2,"")))</f>
        <v/>
      </c>
      <c r="D40" s="370">
        <f>'Vážní listina'!HK39</f>
        <v>4</v>
      </c>
      <c r="E40" s="371">
        <f>'Vážní listina'!HL39</f>
        <v>5</v>
      </c>
      <c r="F40" s="24">
        <v>0</v>
      </c>
      <c r="G40" s="25"/>
      <c r="H40" s="345">
        <f>IF(H5="","",'Vážní listina'!HM39)</f>
        <v>6</v>
      </c>
      <c r="I40" s="24">
        <v>5</v>
      </c>
      <c r="J40" s="25"/>
      <c r="K40" s="345" t="str">
        <f>IF(K5="","",DV40)</f>
        <v>VL</v>
      </c>
      <c r="L40" s="24"/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5</v>
      </c>
      <c r="AA40" s="385">
        <f>IF(A40="","",(F41+I41+L41+O41+R41+U41+X41))</f>
        <v>6</v>
      </c>
      <c r="AB40" s="386">
        <f>IF(A40="","",(G40+J40+M40+P40+S40+V40+Y40))</f>
        <v>0</v>
      </c>
      <c r="AC40" s="387" t="str">
        <f>HF112</f>
        <v>F</v>
      </c>
      <c r="AD40" s="326"/>
      <c r="AE40" s="388">
        <f>IF(D40="","",(IF('Tabulka finále'!$BK$47=1,(IF('Tabulka finále'!$K$56="","",(IF($AC$5="","",(IF($H$5="","",(FW150))))))),"")))</f>
        <v>4</v>
      </c>
      <c r="AG40" s="251">
        <v>1</v>
      </c>
      <c r="AH40" s="138">
        <f>IF($K$5="","",(IF($H$5="x",CU40,"")))</f>
        <v>5</v>
      </c>
      <c r="AI40" s="176">
        <v>6</v>
      </c>
      <c r="AJ40" s="36">
        <f t="shared" ref="AJ40:AJ47" si="188">IF($K$5="","",(IF(EB40="",(IF(AH40="","",(IF(CX40=$BQ$2,$BQ$2,IF((AI40)="","",AI40))))),EB40)))</f>
        <v>6</v>
      </c>
      <c r="AK40" s="149" t="str">
        <f>IF($K$5="","",(DM40))</f>
        <v/>
      </c>
      <c r="AM40" s="138">
        <f>IF(AI40="","",(IF($N$5="x",EQ40,"")))</f>
        <v>4</v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 t="str">
        <f>IF($Q$5="x",HS40,"")</f>
        <v/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0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1</v>
      </c>
      <c r="BR40" s="36">
        <f>BP40</f>
        <v>1</v>
      </c>
      <c r="BS40" s="36">
        <f>D40</f>
        <v>4</v>
      </c>
      <c r="BT40" s="121" t="str">
        <f>IF(SUM(BH40,BI40)=2,$BH$2,"")</f>
        <v/>
      </c>
      <c r="BV40" s="36">
        <f t="shared" ref="BV40:BV72" si="191">IF(BH40="",$BK$2,(IF(C40=$BH$2,$BK$2,D40)))</f>
        <v>4</v>
      </c>
      <c r="BW40" s="36">
        <f t="shared" ref="BW40:BW71" si="192">IF(BH40="",$BK$2,(IF(C40=$BH$2,$BK$2,BP40)))</f>
        <v>1</v>
      </c>
      <c r="BX40" s="36">
        <v>1</v>
      </c>
      <c r="BY40" s="36">
        <f>SMALL($BV$40:$BV$71,BX40)</f>
        <v>4</v>
      </c>
      <c r="CB40" s="121">
        <v>1</v>
      </c>
      <c r="CC40" s="36">
        <f>IF((D40)="",0,D40)</f>
        <v>4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6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6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5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5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5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5</v>
      </c>
      <c r="CU40" s="36">
        <f>IF(CT40=$BK$2,"",CT40)</f>
        <v>5</v>
      </c>
      <c r="CV40" s="36">
        <f>IF(CU40="",0,1)</f>
        <v>1</v>
      </c>
      <c r="CW40" s="36">
        <f>IF(CV40=CV41,0,1)*$CV$39</f>
        <v>0</v>
      </c>
      <c r="CX40" s="149">
        <f>IF(CW40=0,CU40,$BQ$2)</f>
        <v>5</v>
      </c>
      <c r="DA40" s="36">
        <f>D40</f>
        <v>4</v>
      </c>
      <c r="DB40" s="36">
        <f>E40</f>
        <v>5</v>
      </c>
      <c r="DC40" s="36">
        <f>H40</f>
        <v>6</v>
      </c>
      <c r="DD40" s="36" t="str">
        <f>IF((C40)="","",C40)</f>
        <v/>
      </c>
      <c r="DF40" s="36">
        <f>IF((ISNUMBER(AH40)),(INDEX($DA$40:$DA$55,AH40-$DF$36)),"")</f>
        <v>5</v>
      </c>
      <c r="DG40" s="36">
        <f>IF((ISNUMBER(AH40)),(INDEX($DB$40:$DB$55,AH40-$DF$36)),"")</f>
        <v>4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4</v>
      </c>
      <c r="DO40" s="36">
        <f>AH40</f>
        <v>5</v>
      </c>
      <c r="DP40" s="36">
        <f>AJ40</f>
        <v>6</v>
      </c>
      <c r="DR40" s="36" t="str">
        <f>IF(DN40=$DO$40,$DP$40,IF(DN40=$DO$41,$DP$41,IF(DN40=$DO$42,$DP$42,IF(DN40=$DO$43,$DP$43,IF(DN40=$DO$44,$DP$44,IF(DN40=$DO$45,$DP$45,IF(DN40=$DO$46,$DP$46,IF(DN40=$DO$47,$DP$47,""))))))))</f>
        <v>VL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>VL</v>
      </c>
      <c r="DV40" s="36" t="str">
        <f>DT40</f>
        <v>VL</v>
      </c>
      <c r="DX40" s="152">
        <f>AH40</f>
        <v>5</v>
      </c>
      <c r="DY40" s="36">
        <f>IF(AI40="","",AI40)</f>
        <v>6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6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6</v>
      </c>
      <c r="EC40" s="36">
        <f>D40</f>
        <v>4</v>
      </c>
      <c r="ED40" s="121">
        <v>1</v>
      </c>
      <c r="EE40" s="36">
        <f>CU40</f>
        <v>5</v>
      </c>
      <c r="EF40" s="36">
        <f>IF(EE40="",0,1)</f>
        <v>1</v>
      </c>
      <c r="EG40" s="36" t="str">
        <f>IF(SUM($BH$40:$BJ$40)=2,$BH$2,"")</f>
        <v/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5</v>
      </c>
      <c r="EM40" s="36">
        <f>IF(EK40=EK41,1,0)</f>
        <v>0</v>
      </c>
      <c r="EN40" s="36">
        <f>IF(EM40=EM41,0,1)</f>
        <v>0</v>
      </c>
      <c r="EO40" s="36">
        <f>IF(EL40="","",(IF((EN40*CV39)=1,EL40,IF((EN41*CV39)=1,EL41,IF((EN42*CV39)=1,EL42,IF((EN43*CV39)=1,EL43,IF((EN44*CV39)=1,EL44,IF((EN45*CV39)=1,EL45,IF((EN46*CV39)=1,EL46,IF((EN47*CV39)=1,EL47,""))))))))))</f>
        <v>4</v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4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4</v>
      </c>
      <c r="EW40" s="36">
        <f>E40</f>
        <v>5</v>
      </c>
      <c r="EX40" s="36">
        <f>H40</f>
        <v>6</v>
      </c>
      <c r="EY40" s="36" t="str">
        <f>K40</f>
        <v>VL</v>
      </c>
      <c r="EZ40" s="36" t="str">
        <f>EG40</f>
        <v/>
      </c>
      <c r="FB40" s="36">
        <f>EQ40</f>
        <v>4</v>
      </c>
      <c r="FC40" s="36" t="str">
        <f>IF(AN40="","",AN40)</f>
        <v/>
      </c>
      <c r="FD40" s="36">
        <f t="shared" ref="FD40:FD55" si="196">IF(FB40="","",(INDEX($EW$40:$EW$55,FB40-$DF$36)))</f>
        <v>5</v>
      </c>
      <c r="FE40" s="36">
        <f t="shared" ref="FE40:FE55" si="197">IF(FB40="","",(INDEX($EX$40:$EX$55,FB40-$DF$36)))</f>
        <v>6</v>
      </c>
      <c r="FF40" s="36" t="str">
        <f t="shared" ref="FF40:FF55" si="198">IF(FB40="","",(INDEX($EY$40:$EY$55,FB40-$DF$36)))</f>
        <v>VL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4</v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4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4</v>
      </c>
      <c r="GD40" s="36">
        <f>IF(E40="","",E40)</f>
        <v>5</v>
      </c>
      <c r="GE40" s="36">
        <f>IF(H40="","",H40)</f>
        <v>6</v>
      </c>
      <c r="GF40" s="36" t="str">
        <f>IF(K40="","",K40)</f>
        <v>VL</v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/>
      </c>
      <c r="GM40" s="36">
        <f>IF(F40="","",F40)</f>
        <v>0</v>
      </c>
      <c r="GN40" s="36">
        <f>IF(I40="","",I40)</f>
        <v>5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0</v>
      </c>
      <c r="GV40" s="36">
        <f>IF(I41="","",I41)</f>
        <v>6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4</v>
      </c>
      <c r="HC40" s="121">
        <v>1</v>
      </c>
      <c r="HD40" s="36" t="str">
        <f>IF(SUM($BH40:$BK40)&gt;=2,$BH$2,"")</f>
        <v/>
      </c>
      <c r="HE40" s="36">
        <f>FN40</f>
        <v>4</v>
      </c>
      <c r="HF40" s="36">
        <f t="shared" ref="HF40:HF55" si="200">IF((HE40)="","",(INDEX($GD$40:$GD$55,HE40-$HI$36)))</f>
        <v>5</v>
      </c>
      <c r="HG40" s="36">
        <f t="shared" ref="HG40:HG55" si="201">IF(HE40="","",(INDEX($GE$40:$GE$55,HE40-$HI$36)))</f>
        <v>6</v>
      </c>
      <c r="HH40" s="36" t="str">
        <f t="shared" ref="HH40:HH55" si="202">IF(HE40="","",(INDEX($GF$40:$GF$55,HE40-$HI$36)))</f>
        <v>VL</v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4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4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5</v>
      </c>
      <c r="HY40" s="36">
        <f>IF(HS40="","",(INDEX($GE$40:$GE$55,$HS40-$HI$36)))</f>
        <v>6</v>
      </c>
      <c r="HZ40" s="36" t="str">
        <f>IF(HS40="","",(INDEX($GF$40:$GF$55,$HS40-$HI$36)))</f>
        <v>VL</v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4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4</v>
      </c>
      <c r="IR40" s="121">
        <v>1</v>
      </c>
      <c r="IS40" s="36" t="str">
        <f>IF(SUM($BH40:$BL40)&gt;1,$BH$2,"")</f>
        <v/>
      </c>
      <c r="IT40" s="36">
        <f>HS40</f>
        <v>4</v>
      </c>
      <c r="IU40" s="36">
        <f>IF(IT40="","",(INDEX($GD$40:$GD$55,IT40-$IX$36)))</f>
        <v>5</v>
      </c>
      <c r="IV40" s="36">
        <f>IF($IT40="","",(INDEX($GE$40:$GE$55,$IT40-$IX$36)))</f>
        <v>6</v>
      </c>
      <c r="IW40" s="36" t="str">
        <f>IF($IT40="","",(INDEX($GF$40:$GF$55,$IT40-$IX$36)))</f>
        <v>VL</v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4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4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5</v>
      </c>
      <c r="JN40" s="36">
        <f>IF(JH40="","",(INDEX($GE$40:$GE$55,$JH40-$IX$36)))</f>
        <v>6</v>
      </c>
      <c r="JO40" s="36" t="str">
        <f>IF(JH40="","",(INDEX($GF$40:$GF$55,$JH40-$IX$36)))</f>
        <v>VL</v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4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4</v>
      </c>
      <c r="KH40" s="121">
        <v>1</v>
      </c>
      <c r="KI40" s="36" t="str">
        <f>IF(SUM($BH40:$BM40)&gt;1,$BH$2,"")</f>
        <v/>
      </c>
      <c r="KJ40" s="85">
        <f>JH40</f>
        <v>4</v>
      </c>
      <c r="KK40" s="85">
        <f>IF(KJ40="","",(INDEX($GD$40:$GD$55,KJ40-$KN$36)))</f>
        <v>5</v>
      </c>
      <c r="KL40" s="85">
        <f>IF($KJ40="","",(INDEX($GE$40:$GE$55,$KJ40-$KN$36)))</f>
        <v>6</v>
      </c>
      <c r="KM40" s="85" t="str">
        <f>IF($KJ40="","",(INDEX($GF$40:$GF$55,$KJ40-$KN$36)))</f>
        <v>VL</v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4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4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5</v>
      </c>
      <c r="LE40" s="85">
        <f>IF(KY40="","",(INDEX($GE$40:$GE$55,$KY40-$KN$36)))</f>
        <v>6</v>
      </c>
      <c r="LF40" s="85" t="str">
        <f>IF(KY40="","",(INDEX($GF$40:$GF$55,$KY40-$KN$36)))</f>
        <v>VL</v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4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0</v>
      </c>
      <c r="G41" s="28"/>
      <c r="H41" s="346"/>
      <c r="I41" s="29">
        <v>6</v>
      </c>
      <c r="J41" s="28"/>
      <c r="K41" s="346"/>
      <c r="L41" s="29"/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6</v>
      </c>
      <c r="AI41" s="177"/>
      <c r="AJ41" s="36">
        <f t="shared" si="188"/>
        <v>5</v>
      </c>
      <c r="AK41" s="149" t="str">
        <f t="shared" ref="AK41:AK47" si="210">IF($K$5="","",(DM41))</f>
        <v/>
      </c>
      <c r="AM41" s="138">
        <f>IF(AI40="","",(IF($N$5="x",EQ41,"")))</f>
        <v>5</v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0</v>
      </c>
      <c r="BS41" s="36">
        <f>D42</f>
        <v>5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5</v>
      </c>
      <c r="CB41" s="122">
        <v>2</v>
      </c>
      <c r="CC41" s="36">
        <f>IF((D42)="",0,D42)</f>
        <v>5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4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6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6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6</v>
      </c>
      <c r="CU41" s="36">
        <f t="shared" ref="CU41:CU55" si="228">IF(CT41=$BK$2,"",CT41)</f>
        <v>6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6</v>
      </c>
      <c r="DA41" s="36">
        <f>D42</f>
        <v>5</v>
      </c>
      <c r="DB41" s="36">
        <f>E42</f>
        <v>4</v>
      </c>
      <c r="DC41" s="36" t="str">
        <f>H42</f>
        <v>VL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6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4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5</v>
      </c>
      <c r="DO41" s="36">
        <f t="shared" ref="DO41:DO55" si="239">AH41</f>
        <v>6</v>
      </c>
      <c r="DP41" s="36">
        <f t="shared" ref="DP41:DP55" si="240">AJ41</f>
        <v>5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6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6</v>
      </c>
      <c r="DX41" s="152">
        <f t="shared" ref="DX41:DX55" si="244">AH41</f>
        <v>6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5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5</v>
      </c>
      <c r="EC41" s="36">
        <f>D42</f>
        <v>5</v>
      </c>
      <c r="ED41" s="122">
        <v>2</v>
      </c>
      <c r="EE41" s="36">
        <f t="shared" ref="EE41:EE55" si="249">CU41</f>
        <v>6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>xxx</v>
      </c>
      <c r="EJ41" s="36">
        <f t="shared" ref="EJ41:EJ55" si="251">IF(EE41="",$BK$2,(IF(EH41=$BH$2,$BK$2,ED41)))</f>
        <v>999</v>
      </c>
      <c r="EK41" s="36">
        <f>SMALL(EJ40:EJ55,ED41)</f>
        <v>3</v>
      </c>
      <c r="EL41" s="36">
        <f>IF(EK41=$BK$2,"",(INDEX($EE$40:$EE$55,EK41)))</f>
        <v>4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5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5</v>
      </c>
      <c r="EW41" s="36">
        <f>E42</f>
        <v>4</v>
      </c>
      <c r="EX41" s="36" t="str">
        <f>H42</f>
        <v>VL</v>
      </c>
      <c r="EY41" s="36">
        <f>K42</f>
        <v>6</v>
      </c>
      <c r="EZ41" s="36" t="str">
        <f t="shared" ref="EZ41:EZ55" si="257">EG41</f>
        <v/>
      </c>
      <c r="FB41" s="36">
        <f t="shared" ref="FB41:FB55" si="258">EQ41</f>
        <v>5</v>
      </c>
      <c r="FC41" s="36" t="str">
        <f t="shared" ref="FC41:FC55" si="259">IF(AN41="","",AN41)</f>
        <v/>
      </c>
      <c r="FD41" s="36">
        <f t="shared" si="196"/>
        <v>4</v>
      </c>
      <c r="FE41" s="36" t="str">
        <f t="shared" si="197"/>
        <v>VL</v>
      </c>
      <c r="FF41" s="36">
        <f t="shared" si="198"/>
        <v>6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5</v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5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5</v>
      </c>
      <c r="GD41" s="36">
        <f>IF(E42="","",E42)</f>
        <v>4</v>
      </c>
      <c r="GE41" s="36" t="str">
        <f>IF(H42="","",H42)</f>
        <v>VL</v>
      </c>
      <c r="GF41" s="36">
        <f>IF(K42="","",K42)</f>
        <v>6</v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/>
      </c>
      <c r="GM41" s="36">
        <f>IF(F42="","",F42)</f>
        <v>5</v>
      </c>
      <c r="GN41" s="36" t="str">
        <f>IF(I42="","",I42)</f>
        <v/>
      </c>
      <c r="GO41" s="36">
        <f>IF(L42="","",L42)</f>
        <v>5</v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8</v>
      </c>
      <c r="GV41" s="36" t="str">
        <f>IF(I43="","",I43)</f>
        <v/>
      </c>
      <c r="GW41" s="36">
        <f>IF(L43="","",L43)</f>
        <v>7</v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5</v>
      </c>
      <c r="HC41" s="122">
        <v>2</v>
      </c>
      <c r="HD41" s="36" t="str">
        <f>IF(SUM($BH42:$BK42)&gt;=2,$BH$2,"")</f>
        <v/>
      </c>
      <c r="HE41" s="36">
        <f t="shared" ref="HE41:HE55" si="267">FN41</f>
        <v>5</v>
      </c>
      <c r="HF41" s="36">
        <f t="shared" si="200"/>
        <v>4</v>
      </c>
      <c r="HG41" s="36" t="str">
        <f t="shared" si="201"/>
        <v>VL</v>
      </c>
      <c r="HH41" s="36">
        <f t="shared" si="202"/>
        <v>6</v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5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5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4</v>
      </c>
      <c r="HY41" s="36" t="str">
        <f t="shared" ref="HY41:HY55" si="276">IF(HS41="","",(INDEX($GE$40:$GE$55,$HS41-$HI$36)))</f>
        <v>VL</v>
      </c>
      <c r="HZ41" s="36">
        <f t="shared" ref="HZ41:HZ55" si="277">IF(HS41="","",(INDEX($GF$40:$GF$55,$HS41-$HI$36)))</f>
        <v>6</v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5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5</v>
      </c>
      <c r="IR41" s="122">
        <v>2</v>
      </c>
      <c r="IS41" s="36" t="str">
        <f>IF(SUM($BH42:$BL42)&gt;1,$BH$2,"")</f>
        <v/>
      </c>
      <c r="IT41" s="36">
        <f t="shared" ref="IT41:IT55" si="288">HS41</f>
        <v>5</v>
      </c>
      <c r="IU41" s="36">
        <f t="shared" ref="IU41:IU55" si="289">IF(IT41="","",(INDEX($GD$40:$GD$55,IT41-$IX$36)))</f>
        <v>4</v>
      </c>
      <c r="IV41" s="36" t="str">
        <f t="shared" ref="IV41:IV55" si="290">IF($IT41="","",(INDEX($GE$40:$GE$55,$IT41-$IX$36)))</f>
        <v>VL</v>
      </c>
      <c r="IW41" s="36">
        <f t="shared" ref="IW41:IW55" si="291">IF($IT41="","",(INDEX($GF$40:$GF$55,$IT41-$IX$36)))</f>
        <v>6</v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5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5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4</v>
      </c>
      <c r="JN41" s="36" t="str">
        <f t="shared" ref="JN41:JN52" si="302">IF(JH41="","",(INDEX($GE$40:$GE$55,$JH41-$IX$36)))</f>
        <v>VL</v>
      </c>
      <c r="JO41" s="36">
        <f t="shared" ref="JO41:JO53" si="303">IF(JH41="","",(INDEX($GF$40:$GF$55,$JH41-$IX$36)))</f>
        <v>6</v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5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5</v>
      </c>
      <c r="KH41" s="122">
        <v>2</v>
      </c>
      <c r="KI41" s="36" t="str">
        <f>IF(SUM($BH42:$BM42)&gt;1,$BH$2,"")</f>
        <v/>
      </c>
      <c r="KJ41" s="36">
        <f t="shared" ref="KJ41:KJ55" si="316">JH41</f>
        <v>5</v>
      </c>
      <c r="KK41" s="36">
        <f t="shared" ref="KK41:KK55" si="317">IF(KJ41="","",(INDEX($GD$40:$GD$55,KJ41-$KN$36)))</f>
        <v>4</v>
      </c>
      <c r="KL41" s="36" t="str">
        <f t="shared" ref="KL41:KL55" si="318">IF($KJ41="","",(INDEX($GE$40:$GE$55,$KJ41-$KN$36)))</f>
        <v>VL</v>
      </c>
      <c r="KM41" s="36">
        <f t="shared" ref="KM41:KM55" si="319">IF($KJ41="","",(INDEX($GF$40:$GF$55,$KJ41-$KN$36)))</f>
        <v>6</v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5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5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4</v>
      </c>
      <c r="LE41" s="36" t="str">
        <f t="shared" ref="LE41:LE55" si="332">IF(KY41="","",(INDEX($GE$40:$GE$55,$KY41-$KN$36)))</f>
        <v>VL</v>
      </c>
      <c r="LF41" s="36">
        <f t="shared" ref="LF41:LF55" si="333">IF(KY41="","",(INDEX($GF$40:$GF$55,$KY41-$KN$36)))</f>
        <v>6</v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5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Brodacký Antonín</v>
      </c>
      <c r="B42" s="374" t="str">
        <f>'Vážní listina'!HR41</f>
        <v>Hod.</v>
      </c>
      <c r="C42" s="363" t="str">
        <f>IF(BP42="","",(IF(BP42&gt;1,$BH$2,"")))</f>
        <v/>
      </c>
      <c r="D42" s="361">
        <f>'Vážní listina'!HK41</f>
        <v>5</v>
      </c>
      <c r="E42" s="343">
        <f>'Vážní listina'!HL41</f>
        <v>4</v>
      </c>
      <c r="F42" s="26">
        <v>5</v>
      </c>
      <c r="G42" s="32"/>
      <c r="H42" s="334" t="str">
        <f>IF(H5="","",'Vážní listina'!HM41)</f>
        <v>VL</v>
      </c>
      <c r="I42" s="26"/>
      <c r="J42" s="32"/>
      <c r="K42" s="334">
        <f>IF(K5="","",DV42)</f>
        <v>6</v>
      </c>
      <c r="L42" s="26">
        <v>5</v>
      </c>
      <c r="M42" s="32"/>
      <c r="N42" s="334" t="str">
        <f>IF(N5="","",FZ42)</f>
        <v/>
      </c>
      <c r="O42" s="26"/>
      <c r="P42" s="32"/>
      <c r="Q42" s="334" t="str">
        <f>IF(Q5="","",IP42)</f>
        <v/>
      </c>
      <c r="R42" s="26"/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10</v>
      </c>
      <c r="AA42" s="335">
        <f>IF(A42="","",(F43+I43+L43+O43+R43+U43+X43))</f>
        <v>15</v>
      </c>
      <c r="AB42" s="336">
        <f>IF(A42="","",(G42+J42+M42+P42+S42+V42+Y42))</f>
        <v>0</v>
      </c>
      <c r="AC42" s="355" t="str">
        <f>HF114</f>
        <v>F</v>
      </c>
      <c r="AD42" s="328"/>
      <c r="AE42" s="328">
        <f>IF(D42="","",(IF('Tabulka finále'!$BK$47=1,(IF('Tabulka finále'!$K$56="","",(IF($AC$5="","",(IF($H$5="","",(FW152))))))),"")))</f>
        <v>1</v>
      </c>
      <c r="AG42" s="252">
        <v>3</v>
      </c>
      <c r="AH42" s="138">
        <f t="shared" si="209"/>
        <v>4</v>
      </c>
      <c r="AI42" s="177"/>
      <c r="AJ42" s="36" t="str">
        <f t="shared" si="188"/>
        <v>VL</v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 t="str">
        <f>(IF(I42="","",(IF(I42&lt;2,1,0))))</f>
        <v/>
      </c>
      <c r="BJ42" s="36">
        <f>(IF(L42="","",(IF(L42&lt;2,1,0))))</f>
        <v>0</v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0</v>
      </c>
      <c r="BR42" s="36">
        <f>BP44</f>
        <v>2</v>
      </c>
      <c r="BS42" s="36">
        <f>D44</f>
        <v>6</v>
      </c>
      <c r="BT42" s="122" t="str">
        <f>IF(SUM(BH44,BI44)=2,$BH$2,"")</f>
        <v/>
      </c>
      <c r="BV42" s="36">
        <f t="shared" si="191"/>
        <v>5</v>
      </c>
      <c r="BW42" s="36">
        <f t="shared" si="192"/>
        <v>0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6</v>
      </c>
      <c r="CD42" s="36">
        <f t="shared" si="219"/>
        <v>1</v>
      </c>
      <c r="CE42" s="36">
        <f t="shared" si="220"/>
        <v>1</v>
      </c>
      <c r="CH42" s="36">
        <f t="shared" ref="CH42:CH55" si="345">IF(CC42=0,0,(IF($CF$39=0,CC42,CC41)))</f>
        <v>5</v>
      </c>
      <c r="CI42" s="36">
        <f t="shared" si="221"/>
        <v>1</v>
      </c>
      <c r="CJ42" s="36">
        <f t="shared" si="222"/>
        <v>1</v>
      </c>
      <c r="CM42" s="36">
        <f t="shared" ref="CM42:CM55" si="346">IF(CH42=0,0,(IF($CK$39=0,CH42,CH41)))</f>
        <v>4</v>
      </c>
      <c r="CO42" s="36">
        <f t="shared" si="223"/>
        <v>1</v>
      </c>
      <c r="CP42" s="36" t="str">
        <f t="shared" si="224"/>
        <v/>
      </c>
      <c r="CQ42" s="36">
        <f t="shared" si="225"/>
        <v>4</v>
      </c>
      <c r="CR42" s="36">
        <f t="shared" si="226"/>
        <v>3</v>
      </c>
      <c r="CS42" s="36">
        <f t="shared" si="227"/>
        <v>3</v>
      </c>
      <c r="CT42" s="36">
        <f t="shared" si="193"/>
        <v>4</v>
      </c>
      <c r="CU42" s="36">
        <f t="shared" si="228"/>
        <v>4</v>
      </c>
      <c r="CV42" s="36">
        <f t="shared" si="229"/>
        <v>1</v>
      </c>
      <c r="CW42" s="36">
        <f t="shared" si="230"/>
        <v>1</v>
      </c>
      <c r="CX42" s="149" t="str">
        <f t="shared" si="231"/>
        <v>VL</v>
      </c>
      <c r="DA42" s="36">
        <f>D44</f>
        <v>6</v>
      </c>
      <c r="DB42" s="36" t="str">
        <f>E44</f>
        <v>VL</v>
      </c>
      <c r="DC42" s="36">
        <f>H44</f>
        <v>4</v>
      </c>
      <c r="DD42" s="36" t="str">
        <f t="shared" si="232"/>
        <v/>
      </c>
      <c r="DF42" s="36">
        <f t="shared" si="233"/>
        <v>4</v>
      </c>
      <c r="DG42" s="36">
        <f t="shared" si="234"/>
        <v>5</v>
      </c>
      <c r="DH42" s="36">
        <f t="shared" si="235"/>
        <v>6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6</v>
      </c>
      <c r="DO42" s="36">
        <f t="shared" si="239"/>
        <v>4</v>
      </c>
      <c r="DP42" s="36" t="str">
        <f t="shared" si="240"/>
        <v>VL</v>
      </c>
      <c r="DR42" s="36">
        <f t="shared" si="241"/>
        <v>5</v>
      </c>
      <c r="DS42" s="36" t="str">
        <f t="shared" si="242"/>
        <v/>
      </c>
      <c r="DT42" s="36">
        <f t="shared" si="243"/>
        <v>5</v>
      </c>
      <c r="DV42" s="36">
        <f>DT41</f>
        <v>6</v>
      </c>
      <c r="DX42" s="152">
        <f t="shared" si="244"/>
        <v>4</v>
      </c>
      <c r="DY42" s="36" t="str">
        <f t="shared" si="245"/>
        <v/>
      </c>
      <c r="DZ42" s="36" t="str">
        <f t="shared" si="246"/>
        <v/>
      </c>
      <c r="EA42" s="36" t="str">
        <f t="shared" si="247"/>
        <v/>
      </c>
      <c r="EB42" s="173" t="str">
        <f t="shared" si="248"/>
        <v/>
      </c>
      <c r="EC42" s="36">
        <f>D44</f>
        <v>6</v>
      </c>
      <c r="ED42" s="122">
        <v>3</v>
      </c>
      <c r="EE42" s="36">
        <f t="shared" si="249"/>
        <v>4</v>
      </c>
      <c r="EF42" s="36">
        <f t="shared" si="250"/>
        <v>1</v>
      </c>
      <c r="EG42" s="36" t="str">
        <f>IF(SUM($BH$44:$BJ$44)=2,$BH$2,"")</f>
        <v>xxx</v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6</v>
      </c>
      <c r="EW42" s="36" t="str">
        <f>E44</f>
        <v>VL</v>
      </c>
      <c r="EX42" s="36">
        <f>H44</f>
        <v>4</v>
      </c>
      <c r="EY42" s="36">
        <f>K44</f>
        <v>5</v>
      </c>
      <c r="EZ42" s="36" t="str">
        <f t="shared" si="257"/>
        <v>xxx</v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6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6</v>
      </c>
      <c r="GD42" s="36" t="str">
        <f>IF(E44="","",E44)</f>
        <v>VL</v>
      </c>
      <c r="GE42" s="36">
        <f>IF(H44="","",H44)</f>
        <v>4</v>
      </c>
      <c r="GF42" s="36">
        <f>IF(K44="","",K44)</f>
        <v>5</v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 t="str">
        <f>IF(F44="","",F44)</f>
        <v/>
      </c>
      <c r="GN42" s="36">
        <f>IF(I44="","",I44)</f>
        <v>0</v>
      </c>
      <c r="GO42" s="36">
        <f>IF(L44="","",L44)</f>
        <v>0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 t="str">
        <f>IF(F45="","",F45)</f>
        <v/>
      </c>
      <c r="GV42" s="36">
        <f>IF(I45="","",I45)</f>
        <v>0</v>
      </c>
      <c r="GW42" s="36">
        <f>IF(L45="","",L45)</f>
        <v>0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6</v>
      </c>
      <c r="HC42" s="122">
        <v>3</v>
      </c>
      <c r="HD42" s="36" t="str">
        <f>IF(SUM($BH44:$BK44)&gt;=2,$BH$2,"")</f>
        <v>xxx</v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6</v>
      </c>
      <c r="IR42" s="122">
        <v>3</v>
      </c>
      <c r="IS42" s="36" t="str">
        <f>IF(SUM($BH44:$BL44)&gt;1,$BH$2,"")</f>
        <v>xxx</v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6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8</v>
      </c>
      <c r="G43" s="30"/>
      <c r="H43" s="334"/>
      <c r="I43" s="29"/>
      <c r="J43" s="30"/>
      <c r="K43" s="334"/>
      <c r="L43" s="29">
        <v>7</v>
      </c>
      <c r="M43" s="30"/>
      <c r="N43" s="334"/>
      <c r="O43" s="29"/>
      <c r="P43" s="30"/>
      <c r="Q43" s="334"/>
      <c r="R43" s="29"/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 t="str">
        <f>BP46</f>
        <v/>
      </c>
      <c r="BS43" s="36" t="str">
        <f>D46</f>
        <v/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0</v>
      </c>
      <c r="CD43" s="36">
        <f t="shared" si="219"/>
        <v>0</v>
      </c>
      <c r="CE43" s="36">
        <f t="shared" si="220"/>
        <v>0</v>
      </c>
      <c r="CH43" s="36">
        <f t="shared" si="345"/>
        <v>0</v>
      </c>
      <c r="CI43" s="36">
        <f t="shared" si="221"/>
        <v>0</v>
      </c>
      <c r="CJ43" s="36">
        <f t="shared" si="222"/>
        <v>0</v>
      </c>
      <c r="CM43" s="36">
        <f t="shared" si="346"/>
        <v>0</v>
      </c>
      <c r="CO43" s="36">
        <f t="shared" si="223"/>
        <v>0</v>
      </c>
      <c r="CP43" s="36" t="str">
        <f t="shared" si="224"/>
        <v/>
      </c>
      <c r="CQ43" s="36">
        <f>IF(CM43=0,$BK$2,(IF(CP43=$BH$2,$BK$2,CM43)))</f>
        <v>999</v>
      </c>
      <c r="CR43" s="36">
        <f t="shared" si="226"/>
        <v>4</v>
      </c>
      <c r="CS43" s="36">
        <f t="shared" si="227"/>
        <v>4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 t="str">
        <f>D46</f>
        <v/>
      </c>
      <c r="DB43" s="36" t="str">
        <f>E46</f>
        <v/>
      </c>
      <c r="DC43" s="36" t="str">
        <f>H46</f>
        <v/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 t="str">
        <f t="shared" si="238"/>
        <v/>
      </c>
      <c r="DO43" s="36" t="str">
        <f t="shared" si="239"/>
        <v/>
      </c>
      <c r="DP43" s="36" t="str">
        <f t="shared" si="240"/>
        <v/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 t="str">
        <f>D46</f>
        <v/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 t="str">
        <f>D46</f>
        <v/>
      </c>
      <c r="EW43" s="36" t="str">
        <f>E46</f>
        <v/>
      </c>
      <c r="EX43" s="36" t="str">
        <f>H46</f>
        <v/>
      </c>
      <c r="EY43" s="36" t="str">
        <f>K46</f>
        <v/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7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 t="str">
        <f>IF(D46="","",D46)</f>
        <v/>
      </c>
      <c r="GD43" s="36" t="str">
        <f>IF(E46="","",E46)</f>
        <v/>
      </c>
      <c r="GE43" s="36" t="str">
        <f>IF(H46="","",H46)</f>
        <v/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 t="str">
        <f>IF(F46="","",F46)</f>
        <v/>
      </c>
      <c r="GN43" s="36" t="str">
        <f>IF(I46="","",I46)</f>
        <v/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 t="str">
        <f>IF(F47="","",F47)</f>
        <v/>
      </c>
      <c r="GV43" s="36" t="str">
        <f>IF(I47="","",I47)</f>
        <v/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 t="str">
        <f>D46</f>
        <v/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 t="str">
        <f>D46</f>
        <v/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 t="str">
        <f>D46</f>
        <v/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Lukeš Mathyas</v>
      </c>
      <c r="B44" s="374" t="str">
        <f>'Vážní listina'!HR43</f>
        <v>Tichá</v>
      </c>
      <c r="C44" s="363" t="str">
        <f>IF(BP44="","",(IF(BP44&gt;1,$BH$2,"")))</f>
        <v>xxx</v>
      </c>
      <c r="D44" s="361">
        <f>'Vážní listina'!HK43</f>
        <v>6</v>
      </c>
      <c r="E44" s="343" t="str">
        <f>'Vážní listina'!HL43</f>
        <v>VL</v>
      </c>
      <c r="F44" s="26"/>
      <c r="G44" s="33"/>
      <c r="H44" s="343">
        <f>IF(H5="","",'Vážní listina'!HM43)</f>
        <v>4</v>
      </c>
      <c r="I44" s="26">
        <v>0</v>
      </c>
      <c r="J44" s="33"/>
      <c r="K44" s="334">
        <f>IF(K5="","",DV44)</f>
        <v>5</v>
      </c>
      <c r="L44" s="26">
        <v>0</v>
      </c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0</v>
      </c>
      <c r="AA44" s="335">
        <f>IF(A44="","",(F45+I45+L45+O45+R45+U45+X45))</f>
        <v>0</v>
      </c>
      <c r="AB44" s="336">
        <f>IF(A44="","",(G44+J44+M44+P44+S44+V44+Y44))</f>
        <v>0</v>
      </c>
      <c r="AC44" s="355" t="str">
        <f>HF116</f>
        <v>F</v>
      </c>
      <c r="AD44" s="329"/>
      <c r="AE44" s="328">
        <f>IF(D44="","",(IF('Tabulka finále'!$BK$47=1,(IF('Tabulka finále'!$K$56="","",(IF($AC$5="","",(IF($H$5="","",(FW154))))))),"")))</f>
        <v>6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 t="str">
        <f>(IF(F44="","",(IF(F44&lt;2,1,0))))</f>
        <v/>
      </c>
      <c r="BI44" s="36">
        <f>(IF(I44="","",(IF(I44&lt;2,1,0))))</f>
        <v>1</v>
      </c>
      <c r="BJ44" s="36">
        <f>(IF(L44="","",(IF(L44&lt;2,1,0))))</f>
        <v>1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5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>xxx</v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>
        <f>DT42</f>
        <v>5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8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/>
      <c r="G45" s="30"/>
      <c r="H45" s="346"/>
      <c r="I45" s="29">
        <v>0</v>
      </c>
      <c r="J45" s="30"/>
      <c r="K45" s="334"/>
      <c r="L45" s="29">
        <v>0</v>
      </c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6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9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/>
      </c>
      <c r="B46" s="374" t="str">
        <f>'Vážní listina'!HR45</f>
        <v/>
      </c>
      <c r="C46" s="363" t="str">
        <f>IF(BP46="","",(IF(BP46&gt;1,$BH$2,"")))</f>
        <v/>
      </c>
      <c r="D46" s="361" t="str">
        <f>'Vážní listina'!HK45</f>
        <v/>
      </c>
      <c r="E46" s="343" t="str">
        <f>'Vážní listina'!HL45</f>
        <v/>
      </c>
      <c r="F46" s="26"/>
      <c r="G46" s="32"/>
      <c r="H46" s="334" t="str">
        <f>IF(H5="","",'Vážní listina'!HM45)</f>
        <v/>
      </c>
      <c r="I46" s="26"/>
      <c r="J46" s="32"/>
      <c r="K46" s="334" t="str">
        <f>IF(K5="","",DV46)</f>
        <v/>
      </c>
      <c r="L46" s="26"/>
      <c r="M46" s="32"/>
      <c r="N46" s="334" t="str">
        <f>IF(N5="","",FZ46)</f>
        <v/>
      </c>
      <c r="O46" s="26"/>
      <c r="P46" s="32"/>
      <c r="Q46" s="334" t="str">
        <f>IF(Q5="","",IP46)</f>
        <v/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 t="str">
        <f>IF(A46="","",(F46+I46+L46+O46+R46+U46+X46))</f>
        <v/>
      </c>
      <c r="AA46" s="335" t="str">
        <f>IF(A46="","",(F47+I47+L47+O47+R47+U47+X47))</f>
        <v/>
      </c>
      <c r="AB46" s="336" t="str">
        <f>IF(A46="","",(G46+J46+M46+P46+S46+V46+Y46))</f>
        <v/>
      </c>
      <c r="AC46" s="355" t="str">
        <f>HF118</f>
        <v/>
      </c>
      <c r="AD46" s="328"/>
      <c r="AE46" s="328" t="str">
        <f>IF(D46="","",(IF('Tabulka finále'!$BK$47=1,(IF('Tabulka finále'!$K$56="","",(IF($AC$5="","",(IF($H$5="","",(FW156))))))),"")))</f>
        <v/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0</v>
      </c>
      <c r="BH46" s="36" t="str">
        <f>(IF(F46="","",(IF(F46&lt;2,1,0))))</f>
        <v/>
      </c>
      <c r="BI46" s="36" t="str">
        <f>(IF(I46="","",(IF(I46&lt;2,1,0))))</f>
        <v/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 t="str">
        <f>IF(BG46=0,"",(SUM(BH46:BN46)))</f>
        <v/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7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10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/>
      <c r="G47" s="30"/>
      <c r="H47" s="334"/>
      <c r="I47" s="29"/>
      <c r="J47" s="30"/>
      <c r="K47" s="334"/>
      <c r="L47" s="29"/>
      <c r="M47" s="30"/>
      <c r="N47" s="334"/>
      <c r="O47" s="29"/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8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11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/>
      </c>
      <c r="B48" s="374" t="str">
        <f>'Vážní listina'!HR47</f>
        <v/>
      </c>
      <c r="C48" s="363" t="str">
        <f>IF(BP48="","",(IF(BP48&gt;1,$BH$2,"")))</f>
        <v/>
      </c>
      <c r="D48" s="361" t="str">
        <f>'Vážní listina'!HK47</f>
        <v/>
      </c>
      <c r="E48" s="343" t="str">
        <f>'Vážní listina'!HL47</f>
        <v/>
      </c>
      <c r="F48" s="26"/>
      <c r="G48" s="33"/>
      <c r="H48" s="343" t="str">
        <f>IF(H5="","",'Vážní listina'!HM47)</f>
        <v/>
      </c>
      <c r="I48" s="26"/>
      <c r="J48" s="33"/>
      <c r="K48" s="334" t="str">
        <f>IF(K5="","",DV48)</f>
        <v/>
      </c>
      <c r="L48" s="26"/>
      <c r="M48" s="33"/>
      <c r="N48" s="334" t="str">
        <f>IF(N5="","",FZ48)</f>
        <v/>
      </c>
      <c r="O48" s="26"/>
      <c r="P48" s="33"/>
      <c r="Q48" s="334" t="str">
        <f>IF(Q5="","",IP48)</f>
        <v/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 t="str">
        <f>IF(A48="","",(F48+I48+L48+O48+R48+U48+X48))</f>
        <v/>
      </c>
      <c r="AA48" s="335" t="str">
        <f>IF(A48="","",(F49+I49+L49+O49+R49+U49+X49))</f>
        <v/>
      </c>
      <c r="AB48" s="336" t="str">
        <f>IF(A48="","",(G48+J48+M48+P48+S48+V48+Y48))</f>
        <v/>
      </c>
      <c r="AC48" s="355" t="str">
        <f>HF120</f>
        <v/>
      </c>
      <c r="AD48" s="329"/>
      <c r="AE48" s="328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9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12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/>
      <c r="J49" s="30"/>
      <c r="K49" s="334"/>
      <c r="L49" s="29"/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10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13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11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14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12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15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13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16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14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17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15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18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16</v>
      </c>
      <c r="CT55" s="36">
        <f t="shared" si="193"/>
        <v>999</v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19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2</v>
      </c>
      <c r="AJ61" s="273">
        <f t="shared" si="367"/>
        <v>3</v>
      </c>
      <c r="AK61" s="273"/>
      <c r="AL61" s="273"/>
      <c r="AM61" s="273"/>
      <c r="AN61" s="273" t="str">
        <f t="shared" ref="AN61:AO76" si="368">IF((AM157)=0,"",AM157)</f>
        <v/>
      </c>
      <c r="AO61" s="273" t="str">
        <f t="shared" si="368"/>
        <v/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5</v>
      </c>
      <c r="AJ62" s="273">
        <f t="shared" si="367"/>
        <v>6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 t="str">
        <f t="shared" si="367"/>
        <v/>
      </c>
      <c r="AJ63" s="273" t="str">
        <f t="shared" si="367"/>
        <v/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 t="str">
        <f t="shared" si="367"/>
        <v/>
      </c>
      <c r="AJ64" s="273" t="str">
        <f t="shared" si="367"/>
        <v/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1</v>
      </c>
      <c r="GI79" s="36">
        <f>FS82</f>
        <v>2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3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0</v>
      </c>
      <c r="CA81" s="149">
        <f>F8</f>
        <v>0</v>
      </c>
      <c r="CB81" s="138">
        <f>IF(H7=$BQ$2,0,(IF(H7="",0,H7)))</f>
        <v>3</v>
      </c>
      <c r="CC81" s="36">
        <f>I7</f>
        <v>0</v>
      </c>
      <c r="CD81" s="149">
        <f>I8</f>
        <v>0</v>
      </c>
      <c r="CE81" s="138">
        <f>IF(K7=$BQ$2,0,(IF(K7="",0,K7)))</f>
        <v>0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0</v>
      </c>
      <c r="DM81" s="141">
        <f>CA81+CD81+CG81+CJ81+CM81+CP81+CS81+CV81</f>
        <v>0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0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296">
        <f>IF(DJ81="",$DX$76+0.001,((IF(DQ81=$BK$2,$DX$76,(((((((((300)-(DW81*100)+DL81)*10+DV81)*100+DM81)*10+DS81)*10+DT81)*10)+DU81)*100+DH81)))+0.01*DJ81+0.001))</f>
        <v>20050000098.010998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31071010096.030998</v>
      </c>
      <c r="ED81" s="296"/>
      <c r="EE81" s="296"/>
      <c r="EG81" s="36">
        <f>LEN(EC81)</f>
        <v>15</v>
      </c>
      <c r="EJ81" s="36">
        <f>VALUE(MID(EC81,EG81-2,2))</f>
        <v>3</v>
      </c>
      <c r="EL81" s="36">
        <f>EJ81</f>
        <v>3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0</v>
      </c>
      <c r="ER81" s="85">
        <f>INDEX($CA$81:$CA$96,EO81)</f>
        <v>0</v>
      </c>
      <c r="ES81" s="140">
        <f>VALUE(INDEX($CB$81:$CB$96,EO81))</f>
        <v>3</v>
      </c>
      <c r="ET81" s="85">
        <f>INDEX($CC$81:$CC$96,EO81)</f>
        <v>0</v>
      </c>
      <c r="EU81" s="141">
        <f>INDEX($CD$81:$CD$96,EO81)</f>
        <v>0</v>
      </c>
      <c r="EV81" s="85">
        <f>VALUE(INDEX($CE$81:$CE$96,EO81))</f>
        <v>0</v>
      </c>
      <c r="EW81" s="85">
        <f>INDEX($CF$81:$CF$96,EO81)</f>
        <v>0</v>
      </c>
      <c r="EX81" s="85">
        <f>INDEX($CG$81:$CG$96,EO81)</f>
        <v>0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2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0</v>
      </c>
      <c r="FW81" s="140">
        <f>FS83</f>
        <v>3</v>
      </c>
      <c r="FX81" s="85">
        <f>IF(FW81=$EN$76,"",(IF(FW81=EP81,EQ81,IF(FW81=ES81,ET81,IF(FW81=EV81,EW81,IF(FW81=EY81,EZ81,IF(FW81=FB81,FC81,IF(FW81=FE81,FF81,IF(FW81=FH81,FI81,IF(FW81=FK81,FL81,""))))))))))</f>
        <v>0</v>
      </c>
      <c r="FY81" s="141">
        <f>IF(FW81=$EN$76,"",(IF(FW81=EP81,ER81,IF(FW81=ES81,EU81,IF(FW81=EV81,EX81,IF(FW81=EY81,FA81,IF(FW81=FB81,FD81,IF(FW81=FE81,FG81,IF(FW81=FH81,FJ81,IF(FW81=FK81,FM81,""))))))))))</f>
        <v>0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0</v>
      </c>
      <c r="GE81" s="149">
        <f t="shared" si="377"/>
        <v>0</v>
      </c>
      <c r="GH81" s="36">
        <f>FZ82</f>
        <v>3</v>
      </c>
      <c r="GI81" s="36">
        <f>FZ83</f>
        <v>2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5</v>
      </c>
      <c r="CA82" s="149">
        <f>F10</f>
        <v>6</v>
      </c>
      <c r="CB82" s="138">
        <f>IF(H9=$BQ$2,0,(IF(H9="",0,H9)))</f>
        <v>0</v>
      </c>
      <c r="CC82" s="36">
        <f>I9</f>
        <v>0</v>
      </c>
      <c r="CD82" s="149">
        <f>I10</f>
        <v>0</v>
      </c>
      <c r="CE82" s="138">
        <f>IF(K9=$BQ$2,0,(IF(K9="",0,K9)))</f>
        <v>3</v>
      </c>
      <c r="CF82" s="36">
        <f>L9</f>
        <v>0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5</v>
      </c>
      <c r="DM82" s="149">
        <f t="shared" ref="DM82:DM112" si="383">CA82+CD82+CG82+CJ82+CM82+CP82+CS82+CV82</f>
        <v>6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1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36">
        <f>IF(DQ82=$BK$2,0,(IF(BP9&gt;1,1,0)))</f>
        <v>0</v>
      </c>
      <c r="DX82" s="296">
        <f t="shared" ref="DX82:DX96" si="390">IF(DJ82="",$DX$76+0.001,((IF(DQ82=$BK$2,$DX$76,(((((((((300)-(DW82*100)+DL82)*10+DV82)*100+DM82)*10+DS82)*10+DT82)*10)+DU82)*100+DH82)))+0.01*DJ82+0.001))</f>
        <v>30560610097.021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30560610097.021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2</v>
      </c>
      <c r="EL82" s="36">
        <f>EJ82</f>
        <v>2</v>
      </c>
      <c r="EM82" s="36" t="str">
        <f>AC9</f>
        <v>F</v>
      </c>
      <c r="EN82" s="36">
        <f t="shared" si="376"/>
        <v>2</v>
      </c>
      <c r="EO82" s="36">
        <f>VALUE(SMALL($EN$81:$EN$96,DI82))</f>
        <v>2</v>
      </c>
      <c r="EP82" s="138">
        <f>VALUE(INDEX($BY$81:$BY$96,EO82))</f>
        <v>1</v>
      </c>
      <c r="EQ82" s="36">
        <f>INDEX($BZ$81:$BZ$96,EO82)</f>
        <v>5</v>
      </c>
      <c r="ER82" s="36">
        <f>INDEX($CA$81:$CA$96,EO82)</f>
        <v>6</v>
      </c>
      <c r="ES82" s="138">
        <f>VALUE(INDEX($CB$81:$CB$96,EO82))</f>
        <v>0</v>
      </c>
      <c r="ET82" s="36">
        <f>INDEX($CC$81:$CC$96,EO82)</f>
        <v>0</v>
      </c>
      <c r="EU82" s="149">
        <f>INDEX($CD$81:$CD$96,EO82)</f>
        <v>0</v>
      </c>
      <c r="EV82" s="36">
        <f>VALUE(INDEX($CE$81:$CE$96,EO82))</f>
        <v>3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2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5</v>
      </c>
      <c r="FV82" s="149">
        <f>IF(FT82=$EN$76,"",(IF(FT82=EP82,ER82,IF(FT82=ES82,EU82,IF(FT82=EV82,EX82,IF(FT82=EY82,FA82,IF(FT82=FB82,FD82,IF(FT82=FE82,FG82,IF(FT82=FH82,FJ82,IF(FT82=FK82,FM82,""))))))))))</f>
        <v>6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3</v>
      </c>
      <c r="GA82" s="36">
        <f>IF(FZ82=$EN$76,"",(IF(FZ82=EP82,EQ82,IF(FZ82=ES82,ET82,IF(FZ82=EV82,EW82,IF(FZ82=EY82,EZ82,IF(FZ82=FB82,FC82,IF(FZ82=FE82,FF82,IF(FZ82=FH82,FI82,IF(FZ82=FK82,FL82,""))))))))))</f>
        <v>0</v>
      </c>
      <c r="GB82" s="149">
        <f>IF(FZ82=$EN$76,"",(IF(FZ82=EP82,ER82,IF(FZ82=ES82,EU82,IF(FZ82=EV82,EX82,IF(FZ82=EY82,FA82,IF(FZ82=FB82,FD82,IF(FZ82=FE82,FG82,IF(FZ82=FH82,FJ82,IF(FZ82=FK82,FM82,""))))))))))</f>
        <v>0</v>
      </c>
      <c r="GD82" s="138">
        <f t="shared" si="377"/>
        <v>5</v>
      </c>
      <c r="GE82" s="149">
        <f t="shared" si="377"/>
        <v>6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0</v>
      </c>
      <c r="BZ83" s="36">
        <f>F11</f>
        <v>0</v>
      </c>
      <c r="CA83" s="149">
        <f>F12</f>
        <v>0</v>
      </c>
      <c r="CB83" s="138">
        <f>IF(H11=$BQ$2,0,(IF(H11="",0,H11)))</f>
        <v>1</v>
      </c>
      <c r="CC83" s="36">
        <f>I11</f>
        <v>5</v>
      </c>
      <c r="CD83" s="149">
        <f>I12</f>
        <v>4</v>
      </c>
      <c r="CE83" s="138">
        <f>IF(K11=$BQ$2,0,(IF(K11="",0,K11)))</f>
        <v>2</v>
      </c>
      <c r="CF83" s="36">
        <f>L11</f>
        <v>5</v>
      </c>
      <c r="CG83" s="149">
        <f>L12</f>
        <v>6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10</v>
      </c>
      <c r="DM83" s="149">
        <f t="shared" si="383"/>
        <v>10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>F</v>
      </c>
      <c r="DS83" s="36">
        <f t="shared" si="386"/>
        <v>1</v>
      </c>
      <c r="DT83" s="36">
        <f t="shared" si="387"/>
        <v>0</v>
      </c>
      <c r="DU83" s="36">
        <f t="shared" si="388"/>
        <v>0</v>
      </c>
      <c r="DV83" s="36">
        <f t="shared" si="389"/>
        <v>7</v>
      </c>
      <c r="DW83" s="36">
        <f>IF(DQ83=$BK$2,0,(IF(BP11&gt;1,1,0)))</f>
        <v>0</v>
      </c>
      <c r="DX83" s="296">
        <f t="shared" si="390"/>
        <v>31071010096.030998</v>
      </c>
      <c r="DY83" s="296"/>
      <c r="DZ83" s="296"/>
      <c r="EA83" s="53">
        <f t="shared" si="391"/>
        <v>15</v>
      </c>
      <c r="EB83" s="53"/>
      <c r="EC83" s="296">
        <f t="shared" si="392"/>
        <v>20050000098.010998</v>
      </c>
      <c r="ED83" s="296"/>
      <c r="EE83" s="296"/>
      <c r="EG83" s="36">
        <f t="shared" si="393"/>
        <v>15</v>
      </c>
      <c r="EJ83" s="36">
        <f t="shared" si="394"/>
        <v>1</v>
      </c>
      <c r="EL83" s="36">
        <f>EJ83</f>
        <v>1</v>
      </c>
      <c r="EM83" s="36" t="str">
        <f>AC11</f>
        <v>F</v>
      </c>
      <c r="EN83" s="36">
        <f t="shared" si="376"/>
        <v>3</v>
      </c>
      <c r="EO83" s="36">
        <f>VALUE(SMALL($EN$81:$EN$96,DI83))</f>
        <v>3</v>
      </c>
      <c r="EP83" s="142">
        <f>VALUE(INDEX($BY$81:$BY$96,EO83))</f>
        <v>0</v>
      </c>
      <c r="EQ83" s="83">
        <f>INDEX($BZ$81:$BZ$96,EO83)</f>
        <v>0</v>
      </c>
      <c r="ER83" s="83">
        <f>INDEX($CA$81:$CA$96,EO83)</f>
        <v>0</v>
      </c>
      <c r="ES83" s="142">
        <f>VALUE(INDEX($CB$81:$CB$96,EO83))</f>
        <v>1</v>
      </c>
      <c r="ET83" s="83">
        <f>INDEX($CC$81:$CC$96,EO83)</f>
        <v>5</v>
      </c>
      <c r="EU83" s="143">
        <f>INDEX($CD$81:$CD$96,EO83)</f>
        <v>4</v>
      </c>
      <c r="EV83" s="83">
        <f>VALUE(INDEX($CE$81:$CE$96,EO83))</f>
        <v>2</v>
      </c>
      <c r="EW83" s="83">
        <f>INDEX($CF$81:$CF$96,EO83)</f>
        <v>5</v>
      </c>
      <c r="EX83" s="83">
        <f>INDEX($CG$81:$CG$96,EO83)</f>
        <v>6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3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5</v>
      </c>
      <c r="FY83" s="143">
        <f>IF(FW83=$EN$76,"",(IF(FW83=EP83,ER83,IF(FW83=ES83,EU83,IF(FW83=EV83,EX83,IF(FW83=EY83,FA83,IF(FW83=FB83,FD83,IF(FW83=FE83,FG83,IF(FW83=FH83,FJ83,IF(FW83=FK83,FM83,""))))))))))</f>
        <v>4</v>
      </c>
      <c r="FZ83" s="83">
        <f>FS82</f>
        <v>2</v>
      </c>
      <c r="GA83" s="83">
        <f>IF(FZ83=$EN$76,"",(IF(FZ83=EP83,EQ83,IF(FZ83=ES83,ET83,IF(FZ83=EV83,EW83,IF(FZ83=EY83,EZ83,IF(FZ83=FB83,FC83,IF(FZ83=FE83,FF83,IF(FZ83=FH83,FI83,IF(FZ83=FK83,FL83,""))))))))))</f>
        <v>5</v>
      </c>
      <c r="GB83" s="143">
        <f>IF(FZ83=$EN$76,"",(IF(FZ83=EP83,ER83,IF(FZ83=ES83,EU83,IF(FZ83=EV83,EX83,IF(FZ83=EY83,FA83,IF(FZ83=FB83,FD83,IF(FZ83=FE83,FG83,IF(FZ83=FH83,FJ83,IF(FZ83=FK83,FM83,""))))))))))</f>
        <v>6</v>
      </c>
      <c r="GD83" s="142">
        <f t="shared" si="377"/>
        <v>10</v>
      </c>
      <c r="GE83" s="143">
        <f t="shared" si="377"/>
        <v>10</v>
      </c>
      <c r="GY83" s="183" t="str">
        <f t="shared" si="378"/>
        <v/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/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 t="str">
        <f>D13</f>
        <v/>
      </c>
      <c r="BY84" s="138">
        <f>IF(E13=$BQ$2,0,(IF(E13="",0,E13)))</f>
        <v>0</v>
      </c>
      <c r="BZ84" s="36">
        <f>F13</f>
        <v>0</v>
      </c>
      <c r="CA84" s="149">
        <f>F14</f>
        <v>0</v>
      </c>
      <c r="CB84" s="138">
        <f>IF(H13=$BQ$2,0,(IF(H13="",0,H13)))</f>
        <v>0</v>
      </c>
      <c r="CC84" s="36">
        <f>I13</f>
        <v>0</v>
      </c>
      <c r="CD84" s="149">
        <f>I14</f>
        <v>0</v>
      </c>
      <c r="CE84" s="138">
        <f>IF(K13=$BQ$2,0,(IF(K13="",0,K13)))</f>
        <v>0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99</v>
      </c>
      <c r="DI84" s="36">
        <f t="shared" si="380"/>
        <v>4</v>
      </c>
      <c r="DJ84" s="63" t="str">
        <f t="shared" si="375"/>
        <v/>
      </c>
      <c r="DK84" s="36">
        <f t="shared" si="381"/>
        <v>4</v>
      </c>
      <c r="DL84" s="138">
        <f t="shared" si="382"/>
        <v>0</v>
      </c>
      <c r="DM84" s="149">
        <f t="shared" si="383"/>
        <v>0</v>
      </c>
      <c r="DN84" s="138" t="str">
        <f>IF(AD13="","",1)</f>
        <v/>
      </c>
      <c r="DP84" s="36" t="str">
        <f t="shared" si="384"/>
        <v/>
      </c>
      <c r="DQ84" s="36">
        <f t="shared" si="385"/>
        <v>999</v>
      </c>
      <c r="DR84" s="36" t="str">
        <f>AC13</f>
        <v/>
      </c>
      <c r="DS84" s="36">
        <f t="shared" si="386"/>
        <v>0</v>
      </c>
      <c r="DT84" s="36">
        <f t="shared" si="387"/>
        <v>0</v>
      </c>
      <c r="DU84" s="36">
        <f t="shared" si="388"/>
        <v>0</v>
      </c>
      <c r="DV84" s="36">
        <f t="shared" si="389"/>
        <v>7</v>
      </c>
      <c r="DW84" s="36">
        <f>IF(DQ84=$BK$2,0,(IF(BP13&gt;1,1,0)))</f>
        <v>0</v>
      </c>
      <c r="DX84" s="296">
        <f t="shared" si="390"/>
        <v>10000000000.000999</v>
      </c>
      <c r="DY84" s="296"/>
      <c r="DZ84" s="296"/>
      <c r="EA84" s="53">
        <f t="shared" si="391"/>
        <v>15</v>
      </c>
      <c r="EB84" s="53"/>
      <c r="EC84" s="296">
        <f t="shared" si="392"/>
        <v>10000000000.000999</v>
      </c>
      <c r="ED84" s="296"/>
      <c r="EE84" s="296"/>
      <c r="EG84" s="36">
        <f t="shared" si="393"/>
        <v>15</v>
      </c>
      <c r="EJ84" s="36">
        <f t="shared" si="394"/>
        <v>0</v>
      </c>
      <c r="EM84" s="36" t="str">
        <f>AC13</f>
        <v/>
      </c>
      <c r="EN84" s="36">
        <f t="shared" si="376"/>
        <v>999</v>
      </c>
      <c r="GY84" s="183" t="str">
        <f t="shared" si="378"/>
        <v/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 t="str">
        <f>D15</f>
        <v/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0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99</v>
      </c>
      <c r="DI85" s="36">
        <f t="shared" si="380"/>
        <v>5</v>
      </c>
      <c r="DJ85" s="63" t="str">
        <f t="shared" si="375"/>
        <v/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 t="str">
        <f t="shared" si="384"/>
        <v/>
      </c>
      <c r="DQ85" s="36">
        <f t="shared" si="385"/>
        <v>999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296">
        <f t="shared" si="390"/>
        <v>10000000000.000999</v>
      </c>
      <c r="DY85" s="296"/>
      <c r="DZ85" s="296"/>
      <c r="EA85" s="53">
        <f t="shared" si="391"/>
        <v>15</v>
      </c>
      <c r="EB85" s="53"/>
      <c r="EC85" s="296">
        <f t="shared" si="392"/>
        <v>10000000000.000999</v>
      </c>
      <c r="ED85" s="296"/>
      <c r="EE85" s="296"/>
      <c r="EG85" s="36">
        <f t="shared" si="393"/>
        <v>15</v>
      </c>
      <c r="EJ85" s="36">
        <f t="shared" si="394"/>
        <v>0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 t="str">
        <f>GY83</f>
        <v/>
      </c>
      <c r="HD86" s="122">
        <f>HD84+1</f>
        <v>4</v>
      </c>
      <c r="HF86" s="153" t="str">
        <f>HB83</f>
        <v/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/>
      </c>
      <c r="AS88" s="67" t="str">
        <f t="shared" ref="AS88:AS104" si="406">AS6</f>
        <v/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 t="str">
        <f>GY84</f>
        <v/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2</v>
      </c>
      <c r="AI89" s="36">
        <f t="shared" si="404"/>
        <v>3</v>
      </c>
      <c r="AJ89" s="36">
        <f t="shared" ref="AJ89:AJ104" si="409">AJ7</f>
        <v>3</v>
      </c>
      <c r="AM89" s="36">
        <f t="shared" si="400"/>
        <v>2</v>
      </c>
      <c r="AN89" s="36">
        <f t="shared" si="405"/>
        <v>0</v>
      </c>
      <c r="AO89" s="36" t="str">
        <f t="shared" ref="AO89:AO104" si="410">AO7</f>
        <v/>
      </c>
      <c r="AR89" s="36" t="str">
        <f t="shared" si="401"/>
        <v/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3</v>
      </c>
      <c r="AI90" s="36">
        <f t="shared" si="404"/>
        <v>0</v>
      </c>
      <c r="AJ90" s="36">
        <f t="shared" si="409"/>
        <v>2</v>
      </c>
      <c r="AM90" s="36">
        <f t="shared" si="400"/>
        <v>3</v>
      </c>
      <c r="AN90" s="36">
        <f t="shared" si="405"/>
        <v>0</v>
      </c>
      <c r="AO90" s="36" t="str">
        <f t="shared" si="410"/>
        <v/>
      </c>
      <c r="AR90" s="36" t="str">
        <f t="shared" si="401"/>
        <v/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 t="str">
        <f t="shared" si="399"/>
        <v/>
      </c>
      <c r="AI91" s="36">
        <f t="shared" si="404"/>
        <v>0</v>
      </c>
      <c r="AJ91" s="36" t="str">
        <f t="shared" si="409"/>
        <v/>
      </c>
      <c r="AM91" s="36" t="str">
        <f t="shared" si="400"/>
        <v/>
      </c>
      <c r="AN91" s="36">
        <f t="shared" si="405"/>
        <v>0</v>
      </c>
      <c r="AO91" s="36" t="str">
        <f t="shared" si="410"/>
        <v/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 t="str">
        <f t="shared" si="399"/>
        <v/>
      </c>
      <c r="AI92" s="36">
        <f t="shared" si="404"/>
        <v>0</v>
      </c>
      <c r="AJ92" s="36" t="str">
        <f t="shared" si="409"/>
        <v/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4</v>
      </c>
      <c r="GI95" s="36">
        <f>FS98</f>
        <v>5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3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6</v>
      </c>
      <c r="GI96" s="36">
        <f>FS97</f>
        <v>4</v>
      </c>
      <c r="GY96" s="211">
        <f t="shared" si="378"/>
        <v>4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4</v>
      </c>
      <c r="BY97" s="140">
        <f>IF(E40=$BQ$2,0,(IF(E40="",0,E40)))</f>
        <v>5</v>
      </c>
      <c r="BZ97" s="85">
        <f>F40</f>
        <v>0</v>
      </c>
      <c r="CA97" s="141">
        <f>F41</f>
        <v>0</v>
      </c>
      <c r="CB97" s="140">
        <f>IF(H40=$BQ$2,0,(IF(H40="",0,H40)))</f>
        <v>6</v>
      </c>
      <c r="CC97" s="85">
        <f>I40</f>
        <v>5</v>
      </c>
      <c r="CD97" s="141">
        <f>I41</f>
        <v>6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95</v>
      </c>
      <c r="DI97" s="36">
        <f t="shared" si="380"/>
        <v>17</v>
      </c>
      <c r="DJ97" s="63">
        <f t="shared" si="375"/>
        <v>4</v>
      </c>
      <c r="DK97" s="141">
        <f t="shared" si="381"/>
        <v>1</v>
      </c>
      <c r="DL97" s="140">
        <f t="shared" si="382"/>
        <v>5</v>
      </c>
      <c r="DM97" s="141">
        <f t="shared" si="383"/>
        <v>6</v>
      </c>
      <c r="DN97" s="138" t="str">
        <f>IF(AD40="","",1)</f>
        <v/>
      </c>
      <c r="DP97" s="36">
        <f t="shared" si="384"/>
        <v>4</v>
      </c>
      <c r="DQ97" s="85">
        <f t="shared" si="385"/>
        <v>1</v>
      </c>
      <c r="DR97" s="36" t="str">
        <f>AC40</f>
        <v>F</v>
      </c>
      <c r="DS97" s="85">
        <f t="shared" si="386"/>
        <v>1</v>
      </c>
      <c r="DT97" s="85">
        <f t="shared" si="387"/>
        <v>0</v>
      </c>
      <c r="DU97" s="85">
        <f t="shared" si="388"/>
        <v>0</v>
      </c>
      <c r="DV97" s="85">
        <f t="shared" si="389"/>
        <v>6</v>
      </c>
      <c r="DW97" s="85">
        <f>IF(DQ97=$BK$2,0,(IF(BP40&gt;1,1,0)))</f>
        <v>0</v>
      </c>
      <c r="DX97" s="296">
        <f t="shared" ref="DX97:DX112" si="415">IF(DJ97="",$DX$76+0.001,((IF(DQ97=$BK$2,$DX$76,(((((((((300)-(DW97*100)+DL97)*10+DV97)*100+DM97)*10+DS97)*10+DT97)*10)+DU97)*100+DH97)))+0.01*DJ97+0.001))</f>
        <v>30560610095.041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31071510094.050999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5</v>
      </c>
      <c r="EK97" s="85"/>
      <c r="EL97" s="85">
        <f>EJ97</f>
        <v>5</v>
      </c>
      <c r="EM97" s="36" t="str">
        <f>AC40</f>
        <v>F</v>
      </c>
      <c r="EN97" s="36">
        <f t="shared" si="376"/>
        <v>4</v>
      </c>
      <c r="EO97" s="36">
        <f>SMALL($EN$97:$EN$112,DQ97)</f>
        <v>4</v>
      </c>
      <c r="EP97" s="140">
        <f>VALUE(INDEX($BY$97:$BY$112,EO97-$DU$114))</f>
        <v>5</v>
      </c>
      <c r="EQ97" s="85">
        <f>INDEX($BZ$97:$BZ$112,EO97-$DU$114)</f>
        <v>0</v>
      </c>
      <c r="ER97" s="85">
        <f>INDEX($CA$97:$CA$112,EO97-$DU$114)</f>
        <v>0</v>
      </c>
      <c r="ES97" s="140">
        <f>VALUE(INDEX($CB$97:$CB$112,EO97-$DU$114))</f>
        <v>6</v>
      </c>
      <c r="ET97" s="85">
        <f>INDEX($CC$97:$CC$112,EO97-$DU$114)</f>
        <v>5</v>
      </c>
      <c r="EU97" s="141">
        <f>INDEX($CD$97:$CD$112,EO97-$DU$114)</f>
        <v>6</v>
      </c>
      <c r="EV97" s="140">
        <f>VALUE(INDEX($CE$97:$CE$112,EO97-$DU$114))</f>
        <v>0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4</v>
      </c>
      <c r="FT97" s="140">
        <f>FS98</f>
        <v>5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0</v>
      </c>
      <c r="FW97" s="140">
        <f>FS99</f>
        <v>6</v>
      </c>
      <c r="FX97" s="85">
        <f>IF(FW97=$EN$76,"",(IF(FW97=EP97,EQ97,IF(FW97=ES97,ET97,IF(FW97=EV97,EW97,IF(FW97=EY97,EZ97,IF(FW97=FB97,FC97,IF(FW97=FE97,FF97,IF(FW97=FH97,FI97,IF(FW97=FK97,FL97,""))))))))))</f>
        <v>5</v>
      </c>
      <c r="FY97" s="141">
        <f>IF(FW97=$EN$76,"",(IF(FW97=EP97,ER97,IF(FW97=ES97,EU97,IF(FW97=EV97,EX97,IF(FW97=EY97,FA97,IF(FW97=FB97,FD97,IF(FW97=FE97,FG97,IF(FW97=FH97,FJ97,IF(FW97=FK97,FM97,""))))))))))</f>
        <v>6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5</v>
      </c>
      <c r="GE97" s="149">
        <f t="shared" si="416"/>
        <v>6</v>
      </c>
      <c r="GH97" s="36">
        <f>FZ98</f>
        <v>6</v>
      </c>
      <c r="GI97" s="36">
        <f>FZ99</f>
        <v>5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5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5</v>
      </c>
      <c r="BY98" s="138">
        <f>IF(E42=$BQ$2,0,(IF(E42="",0,E42)))</f>
        <v>4</v>
      </c>
      <c r="BZ98" s="36">
        <f>F42</f>
        <v>5</v>
      </c>
      <c r="CA98" s="149">
        <f>F43</f>
        <v>8</v>
      </c>
      <c r="CB98" s="138">
        <f>IF(H42=$BQ$2,0,(IF(H42="",0,H42)))</f>
        <v>0</v>
      </c>
      <c r="CC98" s="36">
        <f>I42</f>
        <v>0</v>
      </c>
      <c r="CD98" s="149">
        <f>I43</f>
        <v>0</v>
      </c>
      <c r="CE98" s="138">
        <f>IF(K42=$BQ$2,0,(IF(K42="",0,K42)))</f>
        <v>6</v>
      </c>
      <c r="CF98" s="36">
        <f>L42</f>
        <v>5</v>
      </c>
      <c r="CG98" s="149">
        <f>L43</f>
        <v>7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94</v>
      </c>
      <c r="DI98" s="36">
        <f t="shared" si="380"/>
        <v>18</v>
      </c>
      <c r="DJ98" s="63">
        <f t="shared" si="375"/>
        <v>5</v>
      </c>
      <c r="DK98" s="36">
        <f t="shared" si="381"/>
        <v>2</v>
      </c>
      <c r="DL98" s="138">
        <f t="shared" si="382"/>
        <v>10</v>
      </c>
      <c r="DM98" s="149">
        <f t="shared" si="383"/>
        <v>15</v>
      </c>
      <c r="DN98" s="138" t="str">
        <f>IF(AD42="","",1)</f>
        <v/>
      </c>
      <c r="DP98" s="36">
        <f t="shared" si="384"/>
        <v>5</v>
      </c>
      <c r="DQ98" s="36">
        <f t="shared" si="385"/>
        <v>2</v>
      </c>
      <c r="DR98" s="36" t="str">
        <f>AC42</f>
        <v>F</v>
      </c>
      <c r="DS98" s="36">
        <f t="shared" si="386"/>
        <v>1</v>
      </c>
      <c r="DT98" s="36">
        <f t="shared" si="387"/>
        <v>0</v>
      </c>
      <c r="DU98" s="36">
        <f t="shared" si="388"/>
        <v>0</v>
      </c>
      <c r="DV98" s="36">
        <f t="shared" si="389"/>
        <v>7</v>
      </c>
      <c r="DW98" s="36">
        <f>IF(DQ98=$BK$2,0,(IF(BP42&gt;1,1,0)))</f>
        <v>0</v>
      </c>
      <c r="DX98" s="296">
        <f t="shared" si="415"/>
        <v>31071510094.050999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30560610095.041</v>
      </c>
      <c r="ED98" s="296"/>
      <c r="EE98" s="296"/>
      <c r="EG98" s="36">
        <f t="shared" ref="EG98:EG112" si="418">LEN(EC98)</f>
        <v>15</v>
      </c>
      <c r="EJ98" s="36">
        <f t="shared" si="394"/>
        <v>4</v>
      </c>
      <c r="EL98" s="36">
        <f>EJ98</f>
        <v>4</v>
      </c>
      <c r="EM98" s="36" t="str">
        <f>AC42</f>
        <v>F</v>
      </c>
      <c r="EN98" s="36">
        <f t="shared" si="376"/>
        <v>5</v>
      </c>
      <c r="EO98" s="36">
        <f>SMALL($EN$97:$EN$112,DQ98)</f>
        <v>5</v>
      </c>
      <c r="EP98" s="138">
        <f>VALUE(INDEX($BY$97:$BY$112,EO98-$DU$114))</f>
        <v>4</v>
      </c>
      <c r="EQ98" s="36">
        <f>INDEX($BZ$97:$BZ$112,EO98-$DU$114)</f>
        <v>5</v>
      </c>
      <c r="ER98" s="36">
        <f>INDEX($CA$97:$CA$112,EO98-$DU$114)</f>
        <v>8</v>
      </c>
      <c r="ES98" s="138">
        <f>VALUE(INDEX($CB$97:$CB$112,EO98-$DU$114))</f>
        <v>0</v>
      </c>
      <c r="ET98" s="36">
        <f>INDEX($CC$97:$CC$112,EO98-$DU$114)</f>
        <v>0</v>
      </c>
      <c r="EU98" s="149">
        <f>INDEX($CD$97:$CD$112,EO98-$DU$114)</f>
        <v>0</v>
      </c>
      <c r="EV98" s="138">
        <f>VALUE(INDEX($CE$97:$CE$112,EO98-$DU$114))</f>
        <v>6</v>
      </c>
      <c r="EW98" s="36">
        <f>INDEX($CF$97:$CF$112,EO98-$DU$114)</f>
        <v>5</v>
      </c>
      <c r="EX98" s="36">
        <f>INDEX($CG$97:$CG$112,EO98-$DU$114)</f>
        <v>7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5</v>
      </c>
      <c r="FT98" s="138">
        <f>FS97</f>
        <v>4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8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6</v>
      </c>
      <c r="GA98" s="36">
        <f>IF(FZ98=$EN$76,"",(IF(FZ98=EP98,EQ98,IF(FZ98=ES98,ET98,IF(FZ98=EV98,EW98,IF(FZ98=EY98,EZ98,IF(FZ98=FB98,FC98,IF(FZ98=FE98,FF98,IF(FZ98=FH98,FI98,IF(FZ98=FK98,FL98,""))))))))))</f>
        <v>5</v>
      </c>
      <c r="GB98" s="149">
        <f>IF(FZ98=$EN$76,"",(IF(FZ98=EP98,ER98,IF(FZ98=ES98,EU98,IF(FZ98=EV98,EX98,IF(FZ98=EY98,FA98,IF(FZ98=FB98,FD98,IF(FZ98=FE98,FG98,IF(FZ98=FH98,FJ98,IF(FZ98=FK98,FM98,""))))))))))</f>
        <v>7</v>
      </c>
      <c r="GD98" s="138">
        <f t="shared" si="416"/>
        <v>10</v>
      </c>
      <c r="GE98" s="149">
        <f t="shared" si="416"/>
        <v>15</v>
      </c>
      <c r="GY98" s="183">
        <f t="shared" si="378"/>
        <v>6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6</v>
      </c>
      <c r="BY99" s="138">
        <f>IF(E44=$BQ$2,0,(IF(E44="",0,E44)))</f>
        <v>0</v>
      </c>
      <c r="BZ99" s="36">
        <f>F44</f>
        <v>0</v>
      </c>
      <c r="CA99" s="149">
        <f>F45</f>
        <v>0</v>
      </c>
      <c r="CB99" s="138">
        <f>IF(H44=$BQ$2,0,(IF(H44="",0,H44)))</f>
        <v>4</v>
      </c>
      <c r="CC99" s="36">
        <f>I44</f>
        <v>0</v>
      </c>
      <c r="CD99" s="149">
        <f>I45</f>
        <v>0</v>
      </c>
      <c r="CE99" s="138">
        <f>IF(K44=$BQ$2,0,(IF(K44="",0,K44)))</f>
        <v>5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93</v>
      </c>
      <c r="DI99" s="36">
        <f t="shared" si="380"/>
        <v>19</v>
      </c>
      <c r="DJ99" s="63">
        <f t="shared" si="375"/>
        <v>6</v>
      </c>
      <c r="DK99" s="36">
        <f t="shared" si="381"/>
        <v>3</v>
      </c>
      <c r="DL99" s="138">
        <f t="shared" si="382"/>
        <v>0</v>
      </c>
      <c r="DM99" s="149">
        <f t="shared" si="383"/>
        <v>0</v>
      </c>
      <c r="DN99" s="138" t="str">
        <f>IF(AD44="","",1)</f>
        <v/>
      </c>
      <c r="DP99" s="36">
        <f t="shared" si="384"/>
        <v>6</v>
      </c>
      <c r="DQ99" s="36">
        <f t="shared" si="385"/>
        <v>3</v>
      </c>
      <c r="DR99" s="36" t="str">
        <f>AC44</f>
        <v>F</v>
      </c>
      <c r="DS99" s="36">
        <f t="shared" si="386"/>
        <v>0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296">
        <f t="shared" si="415"/>
        <v>20050000093.061001</v>
      </c>
      <c r="DY99" s="296"/>
      <c r="DZ99" s="296"/>
      <c r="EA99" s="53">
        <f t="shared" si="391"/>
        <v>15</v>
      </c>
      <c r="EB99" s="53"/>
      <c r="EC99" s="296">
        <f t="shared" si="417"/>
        <v>20050000093.061001</v>
      </c>
      <c r="ED99" s="296"/>
      <c r="EE99" s="296"/>
      <c r="EG99" s="36">
        <f t="shared" si="418"/>
        <v>15</v>
      </c>
      <c r="EJ99" s="36">
        <f t="shared" si="394"/>
        <v>6</v>
      </c>
      <c r="EL99" s="36">
        <f>EJ99</f>
        <v>6</v>
      </c>
      <c r="EM99" s="36" t="str">
        <f>AC44</f>
        <v>F</v>
      </c>
      <c r="EN99" s="36">
        <f t="shared" si="376"/>
        <v>6</v>
      </c>
      <c r="EO99" s="36">
        <f>SMALL($EN$97:$EN$112,DQ99)</f>
        <v>6</v>
      </c>
      <c r="EP99" s="142">
        <f>VALUE(INDEX($BY$97:$BY$112,EO99-$DU$114))</f>
        <v>0</v>
      </c>
      <c r="EQ99" s="83">
        <f>INDEX($BZ$97:$BZ$112,EO99-$DU$114)</f>
        <v>0</v>
      </c>
      <c r="ER99" s="83">
        <f>INDEX($CA$97:$CA$112,EO99-$DU$114)</f>
        <v>0</v>
      </c>
      <c r="ES99" s="142">
        <f>VALUE(INDEX($CB$97:$CB$112,EO99-$DU$114))</f>
        <v>4</v>
      </c>
      <c r="ET99" s="83">
        <f>INDEX($CC$97:$CC$112,EO99-$DU$114)</f>
        <v>0</v>
      </c>
      <c r="EU99" s="143">
        <f>INDEX($CD$97:$CD$112,EO99-$DU$114)</f>
        <v>0</v>
      </c>
      <c r="EV99" s="142">
        <f>VALUE(INDEX($CE$97:$CE$112,EO99-$DU$114))</f>
        <v>5</v>
      </c>
      <c r="EW99" s="83">
        <f>INDEX($CF$97:$CF$112,EO99-$DU$114)</f>
        <v>0</v>
      </c>
      <c r="EX99" s="83">
        <f>INDEX($CG$97:$CG$112,EO99-$DU$114)</f>
        <v>0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6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4</v>
      </c>
      <c r="FX99" s="83">
        <f>IF(FW99=$EN$76,"",(IF(FW99=EP99,EQ99,IF(FW99=ES99,ET99,IF(FW99=EV99,EW99,IF(FW99=EY99,EZ99,IF(FW99=FB99,FC99,IF(FW99=FE99,FF99,IF(FW99=FH99,FI99,IF(FW99=FK99,FL99,""))))))))))</f>
        <v>0</v>
      </c>
      <c r="FY99" s="143">
        <f>IF(FW99=$EN$76,"",(IF(FW99=EP99,ER99,IF(FW99=ES99,EU99,IF(FW99=EV99,EX99,IF(FW99=EY99,FA99,IF(FW99=FB99,FD99,IF(FW99=FE99,FG99,IF(FW99=FH99,FJ99,IF(FW99=FK99,FM99,""))))))))))</f>
        <v>0</v>
      </c>
      <c r="FZ99" s="83">
        <f>FS98</f>
        <v>5</v>
      </c>
      <c r="GA99" s="83">
        <f>IF(FZ99=$EN$76,"",(IF(FZ99=EP99,EQ99,IF(FZ99=ES99,ET99,IF(FZ99=EV99,EW99,IF(FZ99=EY99,EZ99,IF(FZ99=FB99,FC99,IF(FZ99=FE99,FF99,IF(FZ99=FH99,FI99,IF(FZ99=FK99,FL99,""))))))))))</f>
        <v>0</v>
      </c>
      <c r="GB99" s="143">
        <f>IF(FZ99=$EN$76,"",(IF(FZ99=EP99,ER99,IF(FZ99=ES99,EU99,IF(FZ99=EV99,EX99,IF(FZ99=EY99,FA99,IF(FZ99=FB99,FD99,IF(FZ99=FE99,FG99,IF(FZ99=FH99,FJ99,IF(FZ99=FK99,FM99,""))))))))))</f>
        <v>0</v>
      </c>
      <c r="GD99" s="142">
        <f t="shared" si="416"/>
        <v>0</v>
      </c>
      <c r="GE99" s="143">
        <f t="shared" si="416"/>
        <v>0</v>
      </c>
      <c r="GY99" s="183" t="str">
        <f t="shared" si="378"/>
        <v/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 t="str">
        <f>D46</f>
        <v/>
      </c>
      <c r="BY100" s="138">
        <f>IF(E46=$BQ$2,0,(IF(E46="",0,E46)))</f>
        <v>0</v>
      </c>
      <c r="BZ100" s="36">
        <f>F46</f>
        <v>0</v>
      </c>
      <c r="CA100" s="149">
        <f>F47</f>
        <v>0</v>
      </c>
      <c r="CB100" s="138">
        <f>IF(H46=$BQ$2,0,(IF(H46="",0,H46)))</f>
        <v>0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99</v>
      </c>
      <c r="DI100" s="36">
        <f t="shared" si="380"/>
        <v>20</v>
      </c>
      <c r="DJ100" s="63" t="str">
        <f t="shared" si="375"/>
        <v/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 t="str">
        <f t="shared" si="384"/>
        <v/>
      </c>
      <c r="DQ100" s="36">
        <f t="shared" si="385"/>
        <v>999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7</v>
      </c>
      <c r="DW100" s="36">
        <f>IF(DQ100=$BK$2,0,(IF(BP46&gt;1,1,0)))</f>
        <v>0</v>
      </c>
      <c r="DX100" s="296">
        <f t="shared" si="415"/>
        <v>10000000000.000999</v>
      </c>
      <c r="DY100" s="296"/>
      <c r="DZ100" s="296"/>
      <c r="EA100" s="53">
        <f t="shared" si="391"/>
        <v>15</v>
      </c>
      <c r="EB100" s="53"/>
      <c r="EC100" s="296">
        <f t="shared" si="417"/>
        <v>10000000000.000999</v>
      </c>
      <c r="ED100" s="296"/>
      <c r="EE100" s="296"/>
      <c r="EG100" s="36">
        <f t="shared" si="418"/>
        <v>15</v>
      </c>
      <c r="EJ100" s="36">
        <f t="shared" si="394"/>
        <v>0</v>
      </c>
      <c r="EM100" s="36" t="str">
        <f>AC46</f>
        <v/>
      </c>
      <c r="EN100" s="36">
        <f t="shared" si="376"/>
        <v>999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296">
        <f t="shared" si="415"/>
        <v>10000000000.000999</v>
      </c>
      <c r="DY101" s="296"/>
      <c r="DZ101" s="296"/>
      <c r="EA101" s="53">
        <f t="shared" si="391"/>
        <v>15</v>
      </c>
      <c r="EB101" s="53"/>
      <c r="EC101" s="296">
        <f t="shared" si="417"/>
        <v>10000000000.000999</v>
      </c>
      <c r="ED101" s="296"/>
      <c r="EE101" s="296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5</v>
      </c>
      <c r="AI105" s="36">
        <f t="shared" si="421"/>
        <v>6</v>
      </c>
      <c r="AJ105" s="36">
        <f t="shared" si="421"/>
        <v>6</v>
      </c>
      <c r="AM105" s="36">
        <f t="shared" ref="AM105:AO120" si="422">AM40</f>
        <v>4</v>
      </c>
      <c r="AN105" s="36">
        <f t="shared" si="422"/>
        <v>0</v>
      </c>
      <c r="AO105" s="36" t="str">
        <f t="shared" si="422"/>
        <v/>
      </c>
      <c r="AR105" s="36" t="str">
        <f t="shared" ref="AR105:AT120" si="423">AR40</f>
        <v/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6</v>
      </c>
      <c r="AI106" s="36">
        <f t="shared" si="421"/>
        <v>0</v>
      </c>
      <c r="AJ106" s="36">
        <f t="shared" si="421"/>
        <v>5</v>
      </c>
      <c r="AM106" s="36">
        <f t="shared" si="422"/>
        <v>5</v>
      </c>
      <c r="AN106" s="36">
        <f t="shared" si="422"/>
        <v>0</v>
      </c>
      <c r="AO106" s="36" t="str">
        <f t="shared" si="422"/>
        <v/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4</v>
      </c>
      <c r="AI107" s="36">
        <f t="shared" si="421"/>
        <v>0</v>
      </c>
      <c r="AJ107" s="36" t="str">
        <f t="shared" si="421"/>
        <v>VL</v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2</v>
      </c>
      <c r="GJ108" s="149"/>
      <c r="GN108" s="36">
        <v>1</v>
      </c>
      <c r="GO108" s="138">
        <f>FS97</f>
        <v>4</v>
      </c>
      <c r="GP108" s="36">
        <f>FS98</f>
        <v>5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3</v>
      </c>
      <c r="GG109" s="36">
        <f>FS81</f>
        <v>1</v>
      </c>
      <c r="GJ109" s="149"/>
      <c r="GN109" s="36">
        <v>2</v>
      </c>
      <c r="GO109" s="138"/>
      <c r="GR109" s="36">
        <f>FS99</f>
        <v>6</v>
      </c>
      <c r="GS109" s="36">
        <f>FS97</f>
        <v>4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2</v>
      </c>
      <c r="GF110" s="36">
        <f>GF109</f>
        <v>3</v>
      </c>
      <c r="GG110" s="36">
        <f>GG109</f>
        <v>1</v>
      </c>
      <c r="GJ110" s="149"/>
      <c r="GN110" s="36">
        <v>3</v>
      </c>
      <c r="GO110" s="138">
        <f>GO108</f>
        <v>4</v>
      </c>
      <c r="GP110" s="36">
        <f>GP108</f>
        <v>5</v>
      </c>
      <c r="GR110" s="36">
        <f>GR109</f>
        <v>6</v>
      </c>
      <c r="GS110" s="36">
        <f>GS109</f>
        <v>4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6</v>
      </c>
      <c r="GB111" s="36">
        <v>4</v>
      </c>
      <c r="GC111" s="138"/>
      <c r="GI111" s="36">
        <f>FS82</f>
        <v>2</v>
      </c>
      <c r="GJ111" s="149">
        <f>FS83</f>
        <v>3</v>
      </c>
      <c r="GN111" s="36">
        <v>4</v>
      </c>
      <c r="GO111" s="138"/>
      <c r="GU111" s="36">
        <f>FS98</f>
        <v>5</v>
      </c>
      <c r="GV111" s="149">
        <f>FS99</f>
        <v>6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2</v>
      </c>
      <c r="GI112" s="36">
        <f>GI111</f>
        <v>2</v>
      </c>
      <c r="GJ112" s="149">
        <f>GJ111</f>
        <v>3</v>
      </c>
      <c r="GN112" s="36">
        <v>5</v>
      </c>
      <c r="GO112" s="138">
        <f>GO108</f>
        <v>4</v>
      </c>
      <c r="GP112" s="36">
        <f>GP108</f>
        <v>5</v>
      </c>
      <c r="GU112" s="36">
        <f t="shared" ref="GU112:GV114" si="426">GU111</f>
        <v>5</v>
      </c>
      <c r="GV112" s="149">
        <f t="shared" si="426"/>
        <v>6</v>
      </c>
      <c r="GY112" s="183"/>
      <c r="GZ112" s="122"/>
      <c r="HC112" s="212">
        <f>GY96</f>
        <v>4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3</v>
      </c>
      <c r="GG113" s="36">
        <f>GG110</f>
        <v>1</v>
      </c>
      <c r="GI113" s="36">
        <f>GI112</f>
        <v>2</v>
      </c>
      <c r="GJ113" s="149">
        <f>GJ112</f>
        <v>3</v>
      </c>
      <c r="GN113" s="36">
        <v>6</v>
      </c>
      <c r="GO113" s="138"/>
      <c r="GR113" s="36">
        <f>GR110</f>
        <v>6</v>
      </c>
      <c r="GS113" s="36">
        <f>GS110</f>
        <v>4</v>
      </c>
      <c r="GU113" s="36">
        <f t="shared" si="426"/>
        <v>5</v>
      </c>
      <c r="GV113" s="149">
        <f t="shared" si="426"/>
        <v>6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3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2</v>
      </c>
      <c r="GE114" s="83"/>
      <c r="GF114" s="83">
        <f>GF113</f>
        <v>3</v>
      </c>
      <c r="GG114" s="83">
        <f>GG113</f>
        <v>1</v>
      </c>
      <c r="GH114" s="83"/>
      <c r="GI114" s="83">
        <f>GI112</f>
        <v>2</v>
      </c>
      <c r="GJ114" s="143">
        <f>GJ112</f>
        <v>3</v>
      </c>
      <c r="GN114" s="36">
        <v>7</v>
      </c>
      <c r="GO114" s="142">
        <f>GO108</f>
        <v>4</v>
      </c>
      <c r="GP114" s="83">
        <f>GP108</f>
        <v>5</v>
      </c>
      <c r="GQ114" s="83"/>
      <c r="GR114" s="83">
        <f>GR113</f>
        <v>6</v>
      </c>
      <c r="GS114" s="83">
        <f>GS113</f>
        <v>4</v>
      </c>
      <c r="GT114" s="83"/>
      <c r="GU114" s="83">
        <f t="shared" si="426"/>
        <v>5</v>
      </c>
      <c r="GV114" s="143">
        <f t="shared" si="426"/>
        <v>6</v>
      </c>
      <c r="GY114" s="183"/>
      <c r="GZ114" s="122"/>
      <c r="HC114" s="177">
        <f>GY97</f>
        <v>5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6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1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92">
        <f>IF(FJ118="",(IF(DS118="",0,(9-DR118)*$DU$116+DS118+0.01*DS118+0.001)),0)</f>
        <v>0</v>
      </c>
      <c r="DV118" s="392"/>
      <c r="DW118" s="392"/>
      <c r="DX118" s="296">
        <f>IF(DP118=0,$DU$116+0.001,(IF(DN81=1,10000000099,(IF(DR118=$BH$1,10000000099,(IF(AD7="",(DX81+9000000000),10000000099)))))))</f>
        <v>29050000098.010998</v>
      </c>
      <c r="DY118" s="296"/>
      <c r="DZ118" s="296"/>
      <c r="EA118" s="199">
        <f>LEN(DX118)</f>
        <v>15</v>
      </c>
      <c r="EB118" s="392">
        <f>IF(DU118=0,DX118,DU118)</f>
        <v>29050000098.010998</v>
      </c>
      <c r="EC118" s="392"/>
      <c r="ED118" s="392"/>
      <c r="EE118" s="85"/>
      <c r="EF118" s="392">
        <f>LARGE($EB$118:$ED$149,BT118)</f>
        <v>80000000005.05101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5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80000000.004999995</v>
      </c>
      <c r="EP118" s="399"/>
      <c r="EQ118" s="53">
        <f>VALUE(MID(EF118,EK118-5,2))</f>
        <v>5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5</v>
      </c>
      <c r="EW118" s="323">
        <f>(100+EU118)*100+ET118</f>
        <v>10501</v>
      </c>
      <c r="EX118" s="323"/>
      <c r="EZ118" s="323">
        <f>IF(EM118&gt;32,(10000+($EU$149)*100+$ES$149),(SMALL($EW$118:$EX$149,EM118)))</f>
        <v>10105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5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5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5</v>
      </c>
      <c r="FQ118" s="36">
        <f>IF(FJ118="",(IF($FN$114=1,(IF(FP118=0,"",FP118)),"")),FJ118)</f>
        <v>5</v>
      </c>
      <c r="FS118" s="36">
        <v>1</v>
      </c>
      <c r="FU118" s="138">
        <v>1</v>
      </c>
      <c r="FW118" s="149">
        <f>FQ118</f>
        <v>5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 t="str">
        <f>GY99</f>
        <v/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6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>
        <f t="shared" ref="DR119:DR149" si="434">IF(DP119=$DM$118,$DN$118,IF(DP119=$DM$119,$DN$119,IF(DP119=$DM$120,$DN$120,IF(DP119=$DM$121,$DN$121,IF(DP119=$DM$122,$DN$122,IF(DP119=$DM$123,$DN$123,""))))))</f>
        <v>3</v>
      </c>
      <c r="DS119" s="36">
        <f t="shared" ref="DS119:DS149" si="435">IF(DR119="","",DP119)</f>
        <v>2</v>
      </c>
      <c r="DU119" s="296">
        <f t="shared" ref="DU119:DU149" si="436">IF(FJ119="",(IF(DS119="",0,(9-DR119)*$DU$116+DS119+0.01*DS119+0.001)),0)</f>
        <v>60000000002.020996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39560610097.020996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60000000002.020996</v>
      </c>
      <c r="EC119" s="296"/>
      <c r="ED119" s="296"/>
      <c r="EF119" s="296">
        <f t="shared" ref="EF119:EF149" si="440">LARGE($EB$118:$ED$149,BT119)</f>
        <v>70000000003.031006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3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70000000.003000006</v>
      </c>
      <c r="EP119" s="399"/>
      <c r="EQ119" s="53">
        <f>VALUE(MID(EF119,EK119-5,2))</f>
        <v>3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3</v>
      </c>
      <c r="EW119" s="323">
        <f t="shared" ref="EW119:EW149" si="447">(100+EU119)*100+ET119</f>
        <v>10302</v>
      </c>
      <c r="EX119" s="323"/>
      <c r="EZ119" s="323">
        <f t="shared" ref="EZ119:EZ149" si="448">IF(EM119&gt;32,(10000+($EU$149)*100+$ES$149),(SMALL($EW$118:$EX$149,EM119)))</f>
        <v>10203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3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3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3</v>
      </c>
      <c r="FQ119" s="36">
        <f t="shared" ref="FQ119:FQ149" si="456">IF(FJ119="",(IF($FN$114=1,(IF(FP119=0,"",FP119)),"")),FJ119)</f>
        <v>3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2</v>
      </c>
      <c r="DN120" s="173">
        <f>'Tabulka finále'!CG35</f>
        <v>3</v>
      </c>
      <c r="DP120" s="36">
        <f t="shared" si="433"/>
        <v>3</v>
      </c>
      <c r="DR120" s="138">
        <f t="shared" si="434"/>
        <v>2</v>
      </c>
      <c r="DS120" s="36">
        <f t="shared" si="435"/>
        <v>3</v>
      </c>
      <c r="DU120" s="296">
        <f t="shared" si="436"/>
        <v>70000000003.031006</v>
      </c>
      <c r="DV120" s="296"/>
      <c r="DW120" s="296"/>
      <c r="DX120" s="296">
        <f t="shared" si="437"/>
        <v>40071010096.030998</v>
      </c>
      <c r="DY120" s="296"/>
      <c r="DZ120" s="296"/>
      <c r="EA120" s="53">
        <f t="shared" si="438"/>
        <v>15</v>
      </c>
      <c r="EB120" s="296">
        <f t="shared" si="439"/>
        <v>70000000003.031006</v>
      </c>
      <c r="EC120" s="296"/>
      <c r="ED120" s="296"/>
      <c r="EF120" s="296">
        <f t="shared" si="440"/>
        <v>60000000002.020996</v>
      </c>
      <c r="EG120" s="296"/>
      <c r="EH120" s="296"/>
      <c r="EI120" s="36">
        <f t="shared" si="429"/>
        <v>6</v>
      </c>
      <c r="EJ120" s="36">
        <f t="shared" si="441"/>
        <v>2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60000000.001999997</v>
      </c>
      <c r="EP120" s="399"/>
      <c r="EQ120" s="53">
        <f t="shared" ref="EQ120:EQ149" si="460">VALUE(MID(EF120,EK120-5,2))</f>
        <v>2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2</v>
      </c>
      <c r="EW120" s="323">
        <f t="shared" si="447"/>
        <v>10203</v>
      </c>
      <c r="EX120" s="323"/>
      <c r="EZ120" s="323">
        <f t="shared" si="448"/>
        <v>10302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2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2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2</v>
      </c>
      <c r="FQ120" s="36">
        <f>IF(FJ120="",(IF($FN$114=1,(IF(FP120=0,"",FP120)),"")),FJ120)</f>
        <v>2</v>
      </c>
      <c r="FS120" s="36">
        <v>3</v>
      </c>
      <c r="FU120" s="138">
        <f>FU118+1</f>
        <v>2</v>
      </c>
      <c r="FW120" s="149">
        <f>FQ119</f>
        <v>3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4</v>
      </c>
      <c r="DN121" s="173">
        <f>'Tabulka finále'!CG36</f>
        <v>4</v>
      </c>
      <c r="DP121" s="36">
        <f t="shared" si="433"/>
        <v>0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296">
        <f t="shared" si="436"/>
        <v>0</v>
      </c>
      <c r="DV121" s="296"/>
      <c r="DW121" s="296"/>
      <c r="DX121" s="296">
        <f t="shared" si="437"/>
        <v>10000000000.000999</v>
      </c>
      <c r="DY121" s="296"/>
      <c r="DZ121" s="296"/>
      <c r="EA121" s="53">
        <f t="shared" si="438"/>
        <v>15</v>
      </c>
      <c r="EB121" s="296">
        <f t="shared" si="439"/>
        <v>10000000000.000999</v>
      </c>
      <c r="EC121" s="296"/>
      <c r="ED121" s="296"/>
      <c r="EF121" s="296">
        <f>LARGE($EB$118:$ED$149,BT121)</f>
        <v>50000000004.041</v>
      </c>
      <c r="EG121" s="296"/>
      <c r="EH121" s="296"/>
      <c r="EI121" s="36">
        <f t="shared" si="429"/>
        <v>5</v>
      </c>
      <c r="EJ121" s="36">
        <f t="shared" si="441"/>
        <v>4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50000000.004000001</v>
      </c>
      <c r="EP121" s="399"/>
      <c r="EQ121" s="53">
        <f t="shared" si="460"/>
        <v>4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4</v>
      </c>
      <c r="EW121" s="323">
        <f t="shared" si="447"/>
        <v>10404</v>
      </c>
      <c r="EX121" s="323"/>
      <c r="EZ121" s="323">
        <f t="shared" si="448"/>
        <v>10404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4</v>
      </c>
      <c r="FI121" s="36">
        <f t="shared" si="451"/>
        <v>0</v>
      </c>
      <c r="FJ121" s="36" t="str">
        <f>IF(AD13="","",$FJ$115)</f>
        <v/>
      </c>
      <c r="FK121" s="36" t="str">
        <f t="shared" si="452"/>
        <v/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0</v>
      </c>
      <c r="FQ121" s="36" t="str">
        <f t="shared" si="456"/>
        <v/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999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3</v>
      </c>
      <c r="DN122" s="173">
        <f>'Tabulka finále'!CG37</f>
        <v>2</v>
      </c>
      <c r="DP122" s="36">
        <f t="shared" si="433"/>
        <v>0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10000000000.000999</v>
      </c>
      <c r="DY122" s="296"/>
      <c r="DZ122" s="296"/>
      <c r="EA122" s="53">
        <f t="shared" si="438"/>
        <v>15</v>
      </c>
      <c r="EB122" s="296">
        <f t="shared" si="439"/>
        <v>10000000000.000999</v>
      </c>
      <c r="EC122" s="296"/>
      <c r="ED122" s="296"/>
      <c r="EF122" s="296">
        <f>LARGE($EB$118:$ED$149,BT122)</f>
        <v>29050000098.010998</v>
      </c>
      <c r="EG122" s="296"/>
      <c r="EH122" s="296"/>
      <c r="EI122" s="36">
        <f t="shared" si="429"/>
        <v>2</v>
      </c>
      <c r="EJ122" s="36">
        <f t="shared" si="441"/>
        <v>98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29050000.098000001</v>
      </c>
      <c r="EP122" s="399"/>
      <c r="EQ122" s="53">
        <f t="shared" si="460"/>
        <v>98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1</v>
      </c>
      <c r="EW122" s="323">
        <f>(100+EU122)*100+ET122</f>
        <v>10105</v>
      </c>
      <c r="EX122" s="323"/>
      <c r="EZ122" s="323">
        <f>IF(EM122&gt;32,(10000+($EU$149)*100+$ES$149),(SMALL($EW$118:$EX$149,EM122)))</f>
        <v>10501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1</v>
      </c>
      <c r="FI122" s="36">
        <f t="shared" si="451"/>
        <v>0</v>
      </c>
      <c r="FJ122" s="36" t="str">
        <f>IF(AD15="","",$FJ$115)</f>
        <v/>
      </c>
      <c r="FK122" s="36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0</v>
      </c>
      <c r="FQ122" s="36" t="str">
        <f t="shared" si="456"/>
        <v/>
      </c>
      <c r="FS122" s="36">
        <v>5</v>
      </c>
      <c r="FU122" s="138">
        <f>FU120+1</f>
        <v>3</v>
      </c>
      <c r="FW122" s="149">
        <f>FQ120</f>
        <v>2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999</v>
      </c>
      <c r="AI123" s="36">
        <f t="shared" ref="AI123:AI153" si="468">SMALL(AH$122:AH$153,$AF123)</f>
        <v>17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5</v>
      </c>
      <c r="DN123" s="198">
        <f>'Tabulka finále'!CG38</f>
        <v>1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29050000093.061001</v>
      </c>
      <c r="EG123" s="296"/>
      <c r="EH123" s="296"/>
      <c r="EI123" s="36">
        <f t="shared" si="429"/>
        <v>2</v>
      </c>
      <c r="EJ123" s="36">
        <f t="shared" si="441"/>
        <v>93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29050000.092999998</v>
      </c>
      <c r="EP123" s="399"/>
      <c r="EQ123" s="53">
        <f t="shared" si="460"/>
        <v>93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6</v>
      </c>
      <c r="EW123" s="323">
        <f>(100+EU123)*100+ET123</f>
        <v>10606</v>
      </c>
      <c r="EX123" s="323"/>
      <c r="EZ123" s="323">
        <f t="shared" si="448"/>
        <v>10606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6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999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10000000000.000999</v>
      </c>
      <c r="EG124" s="296"/>
      <c r="EH124" s="296"/>
      <c r="EJ124" s="36">
        <f t="shared" si="441"/>
        <v>0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0</v>
      </c>
      <c r="EP124" s="399"/>
      <c r="EQ124" s="53">
        <f t="shared" si="460"/>
        <v>0</v>
      </c>
      <c r="ER124" s="36">
        <f t="shared" si="445"/>
        <v>1</v>
      </c>
      <c r="ES124" s="36">
        <f>IF(EM124&gt;$EU$111,99,(EM124))</f>
        <v>99</v>
      </c>
      <c r="ET124" s="36">
        <f>IF(ES124=99,99,(IF(EO123=EO124,ET123,(ES124))))</f>
        <v>99</v>
      </c>
      <c r="EU124" s="36">
        <f t="shared" si="446"/>
        <v>99</v>
      </c>
      <c r="EW124" s="323">
        <f>(100+EU124)*100+ET124</f>
        <v>19999</v>
      </c>
      <c r="EX124" s="323"/>
      <c r="EZ124" s="323">
        <f t="shared" si="448"/>
        <v>19999</v>
      </c>
      <c r="FA124" s="323"/>
      <c r="FC124" s="36">
        <f t="shared" si="449"/>
        <v>5</v>
      </c>
      <c r="FF124" s="36">
        <f t="shared" si="450"/>
        <v>99</v>
      </c>
      <c r="FG124" s="36">
        <f t="shared" si="464"/>
        <v>99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 t="str">
        <f>FQ121</f>
        <v/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999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10000000000.000999</v>
      </c>
      <c r="EG125" s="296"/>
      <c r="EH125" s="296"/>
      <c r="EJ125" s="36">
        <f t="shared" si="441"/>
        <v>0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0</v>
      </c>
      <c r="EP125" s="399"/>
      <c r="EQ125" s="53">
        <f t="shared" si="460"/>
        <v>0</v>
      </c>
      <c r="ER125" s="36">
        <f t="shared" si="445"/>
        <v>1</v>
      </c>
      <c r="ES125" s="36">
        <f t="shared" ref="ES125:ES149" si="477">IF(EM125&gt;$EU$111,99,(EM125))</f>
        <v>99</v>
      </c>
      <c r="ET125" s="36">
        <f>IF(ES125=99,99,(IF(EO124=EO125,ET124,(ES125))))</f>
        <v>99</v>
      </c>
      <c r="EU125" s="36">
        <f t="shared" si="446"/>
        <v>99</v>
      </c>
      <c r="EW125" s="323">
        <f t="shared" si="447"/>
        <v>19999</v>
      </c>
      <c r="EX125" s="323"/>
      <c r="EZ125" s="323">
        <f t="shared" si="448"/>
        <v>19999</v>
      </c>
      <c r="FA125" s="323"/>
      <c r="FC125" s="36">
        <f t="shared" si="449"/>
        <v>5</v>
      </c>
      <c r="FF125" s="36">
        <f t="shared" si="450"/>
        <v>99</v>
      </c>
      <c r="FG125" s="36">
        <f t="shared" si="464"/>
        <v>99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10000000000.000999</v>
      </c>
      <c r="EG126" s="296"/>
      <c r="EH126" s="296"/>
      <c r="EJ126" s="36">
        <f t="shared" si="441"/>
        <v>0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0</v>
      </c>
      <c r="EP126" s="399"/>
      <c r="EQ126" s="53">
        <f t="shared" si="460"/>
        <v>0</v>
      </c>
      <c r="ER126" s="36">
        <f t="shared" si="445"/>
        <v>1</v>
      </c>
      <c r="ES126" s="36">
        <f>IF(EM126&gt;$EU$111,99,(EM126))</f>
        <v>99</v>
      </c>
      <c r="ET126" s="36">
        <f t="shared" si="461"/>
        <v>99</v>
      </c>
      <c r="EU126" s="36">
        <f t="shared" si="446"/>
        <v>99</v>
      </c>
      <c r="EW126" s="323">
        <f>(100+EU126)*100+ET126</f>
        <v>19999</v>
      </c>
      <c r="EX126" s="323"/>
      <c r="EZ126" s="323">
        <f t="shared" si="448"/>
        <v>19999</v>
      </c>
      <c r="FA126" s="323"/>
      <c r="FC126" s="36">
        <f t="shared" si="449"/>
        <v>5</v>
      </c>
      <c r="FF126" s="36">
        <f t="shared" si="450"/>
        <v>99</v>
      </c>
      <c r="FG126" s="36">
        <f t="shared" si="464"/>
        <v>99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 t="str">
        <f>FQ122</f>
        <v/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6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10000000000.000999</v>
      </c>
      <c r="EG127" s="296"/>
      <c r="EH127" s="296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0</v>
      </c>
      <c r="EP127" s="399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23">
        <f t="shared" si="447"/>
        <v>19999</v>
      </c>
      <c r="EX127" s="323"/>
      <c r="EZ127" s="323">
        <f t="shared" si="448"/>
        <v>19999</v>
      </c>
      <c r="FA127" s="32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27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4</v>
      </c>
      <c r="DR134" s="138">
        <f t="shared" si="434"/>
        <v>4</v>
      </c>
      <c r="DS134" s="36">
        <f t="shared" si="435"/>
        <v>4</v>
      </c>
      <c r="DU134" s="296">
        <f t="shared" si="436"/>
        <v>50000000004.041</v>
      </c>
      <c r="DV134" s="296"/>
      <c r="DW134" s="296"/>
      <c r="DX134" s="296">
        <f t="shared" si="437"/>
        <v>39560610095.041</v>
      </c>
      <c r="DY134" s="296"/>
      <c r="DZ134" s="296"/>
      <c r="EA134" s="53">
        <f t="shared" si="438"/>
        <v>15</v>
      </c>
      <c r="EB134" s="296">
        <f t="shared" si="439"/>
        <v>50000000004.041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4</v>
      </c>
      <c r="FJ134" s="36" t="str">
        <f>IF(AD40="","",$FJ$115)</f>
        <v/>
      </c>
      <c r="FK134" s="36">
        <f t="shared" si="452"/>
        <v>4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4</v>
      </c>
      <c r="FQ134" s="36">
        <f t="shared" si="456"/>
        <v>4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5</v>
      </c>
      <c r="DR135" s="138">
        <f t="shared" si="434"/>
        <v>1</v>
      </c>
      <c r="DS135" s="36">
        <f t="shared" si="435"/>
        <v>5</v>
      </c>
      <c r="DU135" s="296">
        <f t="shared" si="436"/>
        <v>80000000005.05101</v>
      </c>
      <c r="DV135" s="296"/>
      <c r="DW135" s="296"/>
      <c r="DX135" s="296">
        <f t="shared" si="437"/>
        <v>40071510094.050995</v>
      </c>
      <c r="DY135" s="296"/>
      <c r="DZ135" s="296"/>
      <c r="EA135" s="53">
        <f t="shared" si="438"/>
        <v>15</v>
      </c>
      <c r="EB135" s="296">
        <f t="shared" si="439"/>
        <v>80000000005.05101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5</v>
      </c>
      <c r="FJ135" s="36" t="str">
        <f>IF(AD42="","",$FJ$115)</f>
        <v/>
      </c>
      <c r="FK135" s="36">
        <f t="shared" si="452"/>
        <v>1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1</v>
      </c>
      <c r="FQ135" s="36">
        <f t="shared" si="456"/>
        <v>1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6</v>
      </c>
      <c r="DR136" s="138" t="str">
        <f t="shared" si="434"/>
        <v/>
      </c>
      <c r="DS136" s="36" t="str">
        <f t="shared" si="435"/>
        <v/>
      </c>
      <c r="DU136" s="296">
        <f t="shared" si="436"/>
        <v>0</v>
      </c>
      <c r="DV136" s="296"/>
      <c r="DW136" s="296"/>
      <c r="DX136" s="296">
        <f t="shared" si="437"/>
        <v>29050000093.061001</v>
      </c>
      <c r="DY136" s="296"/>
      <c r="DZ136" s="296"/>
      <c r="EA136" s="53">
        <f t="shared" si="438"/>
        <v>15</v>
      </c>
      <c r="EB136" s="296">
        <f t="shared" si="439"/>
        <v>29050000093.061001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6</v>
      </c>
      <c r="FJ136" s="36" t="str">
        <f>IF(AD44="","",$FJ$115)</f>
        <v/>
      </c>
      <c r="FK136" s="36">
        <f t="shared" si="452"/>
        <v>6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6</v>
      </c>
      <c r="FQ136" s="36">
        <f t="shared" si="456"/>
        <v>6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0</v>
      </c>
      <c r="DR137" s="138" t="str">
        <f t="shared" si="434"/>
        <v/>
      </c>
      <c r="DS137" s="36" t="str">
        <f t="shared" si="435"/>
        <v/>
      </c>
      <c r="DU137" s="296">
        <f t="shared" si="436"/>
        <v>0</v>
      </c>
      <c r="DV137" s="296"/>
      <c r="DW137" s="296"/>
      <c r="DX137" s="296">
        <f t="shared" si="437"/>
        <v>10000000000.000999</v>
      </c>
      <c r="DY137" s="296"/>
      <c r="DZ137" s="296"/>
      <c r="EA137" s="53">
        <f t="shared" si="438"/>
        <v>15</v>
      </c>
      <c r="EB137" s="296">
        <f t="shared" si="439"/>
        <v>10000000000.000999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0</v>
      </c>
      <c r="FJ137" s="36" t="str">
        <f>IF(AD46="","",$FJ$115)</f>
        <v/>
      </c>
      <c r="FK137" s="36" t="str">
        <f t="shared" si="452"/>
        <v/>
      </c>
      <c r="FL137" s="36" t="str">
        <f t="shared" si="453"/>
        <v/>
      </c>
      <c r="FM137" s="36" t="str">
        <f t="shared" si="454"/>
        <v/>
      </c>
      <c r="FN137" s="36" t="str">
        <f t="shared" si="455"/>
        <v/>
      </c>
      <c r="FP137" s="36">
        <f t="shared" si="465"/>
        <v>0</v>
      </c>
      <c r="FQ137" s="36" t="str">
        <f t="shared" si="456"/>
        <v/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296">
        <f t="shared" si="436"/>
        <v>0</v>
      </c>
      <c r="DV138" s="296"/>
      <c r="DW138" s="296"/>
      <c r="DX138" s="296">
        <f t="shared" si="437"/>
        <v>10000000000.000999</v>
      </c>
      <c r="DY138" s="296"/>
      <c r="DZ138" s="296"/>
      <c r="EA138" s="53">
        <f t="shared" si="438"/>
        <v>15</v>
      </c>
      <c r="EB138" s="296">
        <f t="shared" si="439"/>
        <v>10000000000.000999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4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1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6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 t="str">
        <f>FQ137</f>
        <v/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2</v>
      </c>
      <c r="AI157" s="36">
        <f>IF(AI122=$BK$2,0,(INDEX(AJ$89:AJ$120,AI122)))</f>
        <v>3</v>
      </c>
      <c r="AM157" s="36">
        <f>IF(AN122=$BK$2,0,(INDEX(AM$89:AM$120,AN122)))</f>
        <v>0</v>
      </c>
      <c r="AN157" s="36">
        <f>IF(AN122=$BK$2,0,(INDEX(AO$89:AO$120,AN122)))</f>
        <v>0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5</v>
      </c>
      <c r="AI158" s="36">
        <f t="shared" ref="AI158:AI172" si="482">IF(AI123=$BK$2,0,(INDEX(AJ$89:AJ$120,AI123)))</f>
        <v>6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0</v>
      </c>
      <c r="AI159" s="36">
        <f t="shared" si="482"/>
        <v>0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0</v>
      </c>
      <c r="AI160" s="36">
        <f t="shared" si="482"/>
        <v>0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44" workbookViewId="0">
      <selection activeCell="U166" sqref="U166:U167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A příp 47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Pustowka Vojtěch</v>
      </c>
      <c r="B10" s="436" t="str">
        <f>IF('Tabulka kvalifikace'!AC5="","",(IF(D10="","",(INDEX($AC$10:$AC$41,D10)))))</f>
        <v>Třin.</v>
      </c>
      <c r="C10" s="437"/>
      <c r="D10" s="409">
        <f>IF('Tabulka kvalifikace'!AC5="","",('Tabulka kvalifikace'!FS81))</f>
        <v>1</v>
      </c>
      <c r="E10" s="371">
        <f>IF('Tabulka kvalifikace'!AC5="","",('Tabulka kvalifikace'!FT81))</f>
        <v>2</v>
      </c>
      <c r="F10" s="24">
        <f>IF(D10="","",(IF(AN10="",BU10,AN10)))</f>
        <v>0</v>
      </c>
      <c r="G10" s="25"/>
      <c r="H10" s="371">
        <f>IF('Tabulka kvalifikace'!AC5="","",('Tabulka kvalifikace'!FW81))</f>
        <v>3</v>
      </c>
      <c r="I10" s="24">
        <f>IF(D10="","",IF(AS10="",BX10,AS10))</f>
        <v>0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0</v>
      </c>
      <c r="O10" s="385">
        <f>BF11</f>
        <v>0</v>
      </c>
      <c r="P10" s="386">
        <f>BK10</f>
        <v>0</v>
      </c>
      <c r="Q10" s="388" t="str">
        <f>IF(D10="","",IF($Q$8="","",(IF('Tabulka kvalifikace'!AC5="","",(DG10)))))</f>
        <v>FIII</v>
      </c>
      <c r="S10" s="56"/>
      <c r="T10" s="56"/>
      <c r="U10" s="294">
        <f>IF(D10="","",IF($Q$8="","",(IF('Tabulka kvalifikace'!AC5="","",(DH10)))))</f>
        <v>3</v>
      </c>
      <c r="AA10" s="1">
        <v>1</v>
      </c>
      <c r="AB10" s="74" t="str">
        <f>'Vážní listina'!D7</f>
        <v>Pustowka Vojtěch</v>
      </c>
      <c r="AC10" s="74" t="str">
        <f>'Vážní listina'!E7</f>
        <v>Třin.</v>
      </c>
      <c r="AD10" s="36">
        <f>'Tabulka kvalifikace'!Z7</f>
        <v>0</v>
      </c>
      <c r="AE10" s="36">
        <f>'Tabulka kvalifikace'!AA7</f>
        <v>0</v>
      </c>
      <c r="AF10" s="36">
        <f>'Tabulka kvalifikace'!AB7</f>
        <v>0</v>
      </c>
      <c r="AG10" s="128">
        <f>'Vážní listina'!H7</f>
        <v>44.2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0</v>
      </c>
      <c r="BE10" s="36" t="str">
        <f t="shared" ref="BE10:BE15" si="2">L10</f>
        <v/>
      </c>
      <c r="BF10" s="1">
        <f t="shared" ref="BF10:BF15" si="3">SUM(BC10:BE10)</f>
        <v>0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1</v>
      </c>
      <c r="BT10" s="371">
        <f>'Tabulka kvalifikace'!FT81</f>
        <v>2</v>
      </c>
      <c r="BU10" s="24">
        <f>'Tabulka kvalifikace'!FU81</f>
        <v>0</v>
      </c>
      <c r="BV10" s="25"/>
      <c r="BW10" s="371">
        <f>'Tabulka kvalifikace'!FW81</f>
        <v>3</v>
      </c>
      <c r="BX10" s="24">
        <f>'Tabulka kvalifikace'!FX81</f>
        <v>0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0</v>
      </c>
      <c r="CE10" s="36">
        <f>F11</f>
        <v>0</v>
      </c>
      <c r="CF10" s="152">
        <f>I10</f>
        <v>0</v>
      </c>
      <c r="CG10" s="153">
        <f>I11</f>
        <v>0</v>
      </c>
      <c r="CH10" s="36" t="str">
        <f>L10</f>
        <v/>
      </c>
      <c r="CI10" s="36" t="str">
        <f>L11</f>
        <v/>
      </c>
      <c r="CJ10" s="177">
        <f>N10</f>
        <v>0</v>
      </c>
      <c r="CK10" s="224">
        <f>O10</f>
        <v>0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1000000098.011</v>
      </c>
      <c r="CU10" s="127">
        <f>LARGE($CS$10:$CS$12,CR10)</f>
        <v>1101020096.0309999</v>
      </c>
      <c r="CV10" s="36">
        <f>LEN(CU10)</f>
        <v>14</v>
      </c>
      <c r="CW10" s="36"/>
      <c r="CX10" s="36">
        <f>VALUE(MID(CU10,CV10-1,2))</f>
        <v>31</v>
      </c>
      <c r="CY10" s="36"/>
      <c r="CZ10" s="36">
        <f>100000+CX10*100+CZ3</f>
        <v>103101</v>
      </c>
      <c r="DA10" s="36">
        <f>SMALL($CZ$10:$CZ$12,CR10)</f>
        <v>101103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0</v>
      </c>
      <c r="G11" s="28"/>
      <c r="H11" s="334"/>
      <c r="I11" s="29">
        <f>IF(D10="","",IF(AS11="",BX11,AS11))</f>
        <v>0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Kačmařík Adam</v>
      </c>
      <c r="AC11" s="74" t="str">
        <f>'Vážní listina'!E8</f>
        <v>Jabl.</v>
      </c>
      <c r="AD11" s="36">
        <f>'Tabulka kvalifikace'!Z9</f>
        <v>5</v>
      </c>
      <c r="AE11" s="36">
        <f>'Tabulka kvalifikace'!AA9</f>
        <v>6</v>
      </c>
      <c r="AF11" s="36">
        <f>'Tabulka kvalifikace'!AB9</f>
        <v>0</v>
      </c>
      <c r="AG11" s="128">
        <f>'Vážní listina'!H8</f>
        <v>46.5</v>
      </c>
      <c r="AH11" s="288"/>
      <c r="AK11" s="203"/>
      <c r="AL11" s="410">
        <f>D12</f>
        <v>2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0</v>
      </c>
      <c r="BD11" s="36">
        <f t="shared" si="1"/>
        <v>0</v>
      </c>
      <c r="BE11" s="36" t="str">
        <f t="shared" si="2"/>
        <v/>
      </c>
      <c r="BF11" s="1">
        <f t="shared" si="3"/>
        <v>0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0</v>
      </c>
      <c r="BV11" s="28"/>
      <c r="BW11" s="334"/>
      <c r="BX11" s="27">
        <f>'Tabulka kvalifikace'!FY81</f>
        <v>0</v>
      </c>
      <c r="BY11" s="28"/>
      <c r="BZ11" s="411"/>
      <c r="CA11" s="27" t="str">
        <f>'Tabulka kvalifikace'!GB81</f>
        <v/>
      </c>
      <c r="CB11" s="218"/>
      <c r="CC11" s="228">
        <f>D12</f>
        <v>2</v>
      </c>
      <c r="CD11" s="36">
        <f>F12</f>
        <v>5</v>
      </c>
      <c r="CE11" s="36">
        <f>F13</f>
        <v>6</v>
      </c>
      <c r="CF11" s="152" t="str">
        <f>I12</f>
        <v/>
      </c>
      <c r="CG11" s="153" t="str">
        <f>I13</f>
        <v/>
      </c>
      <c r="CH11" s="36">
        <f>L12</f>
        <v>0</v>
      </c>
      <c r="CI11" s="36">
        <f>L13</f>
        <v>0</v>
      </c>
      <c r="CJ11" s="177">
        <f>N12</f>
        <v>5</v>
      </c>
      <c r="CK11" s="224">
        <f>O12</f>
        <v>6</v>
      </c>
      <c r="CN11" s="230">
        <f>IF(CD11=5,1,0)+IF(CF11=5,1,0)+IF(CH11=5,1,0)</f>
        <v>1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1050610097.021</v>
      </c>
      <c r="CU11" s="127">
        <f>LARGE($CS$10:$CS$12,CR11)</f>
        <v>1050610097.021</v>
      </c>
      <c r="CV11" s="36">
        <f>LEN(CU11)</f>
        <v>14</v>
      </c>
      <c r="CW11" s="36"/>
      <c r="CX11" s="36">
        <f>VALUE(MID(CU11,CV11-1,2))</f>
        <v>21</v>
      </c>
      <c r="CY11" s="36"/>
      <c r="CZ11" s="36">
        <f>100000+CX11*100+CZ4</f>
        <v>102102</v>
      </c>
      <c r="DA11" s="36">
        <f>SMALL($CZ$10:$CZ$12,CR11)</f>
        <v>102102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>Kačmařík Adam</v>
      </c>
      <c r="B12" s="419" t="str">
        <f>IF('Tabulka kvalifikace'!AC5="","",(IF(D12="","",(INDEX($AC$10:$AC$41,D12)))))</f>
        <v>Jabl.</v>
      </c>
      <c r="C12" s="420"/>
      <c r="D12" s="404">
        <f>IF('Tabulka kvalifikace'!AC5="","",('Tabulka kvalifikace'!FS82))</f>
        <v>2</v>
      </c>
      <c r="E12" s="334">
        <f>IF('Tabulka kvalifikace'!AC5="","",('Tabulka kvalifikace'!FT82))</f>
        <v>1</v>
      </c>
      <c r="F12" s="31">
        <f>IF(D12="","",IF(AN12="",BU12,AN12))</f>
        <v>5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3</v>
      </c>
      <c r="L12" s="31">
        <f>IF(D12="","",IF(AX12="",CA12,AX12))</f>
        <v>0</v>
      </c>
      <c r="M12" s="32"/>
      <c r="N12" s="423">
        <f>BF12</f>
        <v>5</v>
      </c>
      <c r="O12" s="425">
        <f>BF13</f>
        <v>6</v>
      </c>
      <c r="P12" s="421">
        <f>BK12</f>
        <v>0</v>
      </c>
      <c r="Q12" s="328" t="str">
        <f>IF(D12="","",IF($Q$8="","",(IF('Tabulka kvalifikace'!AC5="","",(DG12)))))</f>
        <v>FII</v>
      </c>
      <c r="S12" s="56"/>
      <c r="T12" s="56"/>
      <c r="U12" s="294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Theodor Brož</v>
      </c>
      <c r="AC12" s="74" t="str">
        <f>'Vážní listina'!E9</f>
        <v>N.Jič.</v>
      </c>
      <c r="AD12" s="36">
        <f>'Tabulka kvalifikace'!Z11</f>
        <v>10</v>
      </c>
      <c r="AE12" s="36">
        <f>'Tabulka kvalifikace'!AA11</f>
        <v>10</v>
      </c>
      <c r="AF12" s="36">
        <f>'Tabulka kvalifikace'!AB11</f>
        <v>0</v>
      </c>
      <c r="AG12" s="128">
        <f>'Vážní listina'!H9</f>
        <v>43.9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5</v>
      </c>
      <c r="BD12" s="36" t="str">
        <f t="shared" si="1"/>
        <v/>
      </c>
      <c r="BE12" s="36">
        <f t="shared" si="2"/>
        <v>0</v>
      </c>
      <c r="BF12" s="1">
        <f t="shared" si="3"/>
        <v>5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2</v>
      </c>
      <c r="BT12" s="334">
        <f>'Tabulka kvalifikace'!FT82</f>
        <v>1</v>
      </c>
      <c r="BU12" s="31">
        <f>'Tabulka kvalifikace'!FU82</f>
        <v>5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3</v>
      </c>
      <c r="CA12" s="31">
        <f>'Tabulka kvalifikace'!GA82</f>
        <v>0</v>
      </c>
      <c r="CB12" s="219"/>
      <c r="CC12" s="229">
        <f>D14</f>
        <v>3</v>
      </c>
      <c r="CD12" s="81" t="str">
        <f>F14</f>
        <v/>
      </c>
      <c r="CE12" s="81" t="str">
        <f>F15</f>
        <v/>
      </c>
      <c r="CF12" s="220">
        <f>I14</f>
        <v>5</v>
      </c>
      <c r="CG12" s="221">
        <f>I15</f>
        <v>4</v>
      </c>
      <c r="CH12" s="81">
        <f>L14</f>
        <v>5</v>
      </c>
      <c r="CI12" s="81">
        <f>L15</f>
        <v>6</v>
      </c>
      <c r="CJ12" s="225">
        <f>N14</f>
        <v>10</v>
      </c>
      <c r="CK12" s="226">
        <f>O14</f>
        <v>10</v>
      </c>
      <c r="CN12" s="232">
        <f>IF(CD12=5,1,0)+IF(CF12=5,1,0)+IF(CH12=5,1,0)</f>
        <v>2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1101020096.0309999</v>
      </c>
      <c r="CU12" s="127">
        <f>LARGE($CS$10:$CS$12,CR12)</f>
        <v>1000000098.011</v>
      </c>
      <c r="CV12" s="36">
        <f>LEN(CU12)</f>
        <v>14</v>
      </c>
      <c r="CW12" s="36"/>
      <c r="CX12" s="36">
        <f>VALUE(MID(CU12,CV12-1,2))</f>
        <v>11</v>
      </c>
      <c r="CY12" s="36"/>
      <c r="CZ12" s="36">
        <f>100000+CX12*100+CZ5</f>
        <v>101103</v>
      </c>
      <c r="DA12" s="36">
        <f>SMALL($CZ$10:$CZ$12,CR12)</f>
        <v>103101</v>
      </c>
      <c r="DB12" s="36">
        <f>LEN(DA12)</f>
        <v>6</v>
      </c>
      <c r="DC12" s="36">
        <f>VALUE(MID(DA12,DB12-1,2))</f>
        <v>1</v>
      </c>
      <c r="DE12" s="36" t="str">
        <f>IF(DC12=$CZ$3,$DA$3,IF(DC12=$CZ$4,$DA$4,IF(DC12=$CZ$5,$DA$5,"")))</f>
        <v>FI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6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0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VOMELA Patrik</v>
      </c>
      <c r="AC13" s="74" t="str">
        <f>'Vážní listina'!E10</f>
        <v>H.Brod</v>
      </c>
      <c r="AD13" s="36" t="str">
        <f>'Tabulka kvalifikace'!Z13</f>
        <v/>
      </c>
      <c r="AE13" s="36" t="str">
        <f>'Tabulka kvalifikace'!AA13</f>
        <v/>
      </c>
      <c r="AF13" s="36" t="str">
        <f>'Tabulka kvalifikace'!AB13</f>
        <v/>
      </c>
      <c r="AG13" s="128">
        <f>'Vážní listina'!H10</f>
        <v>44.8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10</v>
      </c>
      <c r="AW13" s="334"/>
      <c r="AX13" s="27"/>
      <c r="AY13" s="28"/>
      <c r="AZ13" s="173"/>
      <c r="BC13" s="36">
        <f t="shared" si="0"/>
        <v>6</v>
      </c>
      <c r="BD13" s="36" t="str">
        <f t="shared" si="1"/>
        <v/>
      </c>
      <c r="BE13" s="36">
        <f t="shared" si="2"/>
        <v>0</v>
      </c>
      <c r="BF13" s="1">
        <f t="shared" si="3"/>
        <v>6</v>
      </c>
      <c r="BS13" s="410"/>
      <c r="BT13" s="334"/>
      <c r="BU13" s="29">
        <f>'Tabulka kvalifikace'!FV82</f>
        <v>6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0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Theodor Brož</v>
      </c>
      <c r="B14" s="419" t="str">
        <f>IF('Tabulka kvalifikace'!AC5="","",(IF(D14="","",(INDEX($AC$10:$AC$41,D14)))))</f>
        <v>N.Jič.</v>
      </c>
      <c r="C14" s="420"/>
      <c r="D14" s="404">
        <f>IF('Tabulka kvalifikace'!AC5="","",('Tabulka kvalifikace'!FS83))</f>
        <v>3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1</v>
      </c>
      <c r="I14" s="26">
        <f>IF(D14="","",IF(AS14="",BX14,AS14))</f>
        <v>5</v>
      </c>
      <c r="J14" s="33"/>
      <c r="K14" s="411">
        <f>IF('Tabulka kvalifikace'!AC5="","",('Tabulka kvalifikace'!FZ83))</f>
        <v>2</v>
      </c>
      <c r="L14" s="26">
        <f>IF(D14="","",IF(AX14="",CA14,AX14))</f>
        <v>5</v>
      </c>
      <c r="M14" s="33"/>
      <c r="N14" s="423">
        <f>BF14</f>
        <v>10</v>
      </c>
      <c r="O14" s="425">
        <f>IF('Tabulka kvalifikace'!AC5="","",('Tabulka kvalifikace'!GE83))</f>
        <v>10</v>
      </c>
      <c r="P14" s="421">
        <f>BK14</f>
        <v>0</v>
      </c>
      <c r="Q14" s="328" t="str">
        <f>IF(D14="","",IF($Q$8="","",(IF('Tabulka kvalifikace'!AC5="","",(DG14)))))</f>
        <v>FI</v>
      </c>
      <c r="S14" s="56"/>
      <c r="T14" s="56"/>
      <c r="U14" s="294">
        <f>IF($Q$8="","",(IF('Tabulka kvalifikace'!AC5="","",(DH14))))</f>
        <v>1</v>
      </c>
      <c r="AA14" s="1">
        <f t="shared" si="5"/>
        <v>5</v>
      </c>
      <c r="AB14" s="74" t="str">
        <f>'Vážní listina'!D11</f>
        <v>Brodacký Antonín</v>
      </c>
      <c r="AC14" s="74" t="str">
        <f>'Vážní listina'!E11</f>
        <v>Hod.</v>
      </c>
      <c r="AD14" s="36" t="str">
        <f>'Tabulka kvalifikace'!Z15</f>
        <v/>
      </c>
      <c r="AE14" s="36" t="str">
        <f>'Tabulka kvalifikace'!AA15</f>
        <v/>
      </c>
      <c r="AF14" s="36" t="str">
        <f>'Tabulka kvalifikace'!AB15</f>
        <v/>
      </c>
      <c r="AG14" s="128">
        <f>'Vážní listina'!H11</f>
        <v>45.8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5</v>
      </c>
      <c r="BE14" s="36">
        <f t="shared" si="2"/>
        <v>5</v>
      </c>
      <c r="BF14" s="1">
        <f t="shared" si="3"/>
        <v>10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3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1</v>
      </c>
      <c r="BX14" s="31">
        <f>'Tabulka kvalifikace'!FX83</f>
        <v>5</v>
      </c>
      <c r="BY14" s="32"/>
      <c r="BZ14" s="411">
        <f>'Tabulka kvalifikace'!FZ83</f>
        <v>2</v>
      </c>
      <c r="CA14" s="31">
        <f>'Tabulka kvalifikace'!GA83</f>
        <v>5</v>
      </c>
      <c r="CB14" s="32"/>
      <c r="CV14" s="36"/>
      <c r="CW14" s="36"/>
      <c r="CX14" s="36"/>
      <c r="CY14" s="36"/>
      <c r="CZ14" s="36"/>
      <c r="DG14" s="36" t="str">
        <f>DE12</f>
        <v>FI</v>
      </c>
      <c r="DH14" s="36">
        <f>DC12</f>
        <v>1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4</v>
      </c>
      <c r="J15" s="30"/>
      <c r="K15" s="411"/>
      <c r="L15" s="255">
        <f>IF(D14="","",IF(AX15="",CA15,AX15))</f>
        <v>6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Lukeš Mathyas</v>
      </c>
      <c r="AC15" s="74" t="str">
        <f>'Vážní listina'!E12</f>
        <v>Tichá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44.6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4</v>
      </c>
      <c r="BE15" s="36">
        <f t="shared" si="2"/>
        <v>6</v>
      </c>
      <c r="BF15" s="1">
        <f t="shared" si="3"/>
        <v>10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4</v>
      </c>
      <c r="BY15" s="35"/>
      <c r="BZ15" s="413"/>
      <c r="CA15" s="34">
        <f>'Tabulka kvalifikace'!GB83</f>
        <v>6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>
        <f>'Vážní listina'!D13</f>
        <v>0</v>
      </c>
      <c r="AC16" s="74">
        <f>'Vážní listina'!E13</f>
        <v>0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0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>
        <f>'Vážní listina'!D14</f>
        <v>0</v>
      </c>
      <c r="AC17" s="74">
        <f>'Vážní listina'!E14</f>
        <v>0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0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>
        <f>'Vážní listina'!D15</f>
        <v>0</v>
      </c>
      <c r="AC18" s="74">
        <f>'Vážní listina'!E15</f>
        <v>0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0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>VOMELA Patrik</v>
      </c>
      <c r="B22" s="436" t="str">
        <f>IF('Tabulka kvalifikace'!AC5="","",(IF(D22="","",(INDEX($AC$10:$AC$41,D22)))))</f>
        <v>H.Brod</v>
      </c>
      <c r="C22" s="437"/>
      <c r="D22" s="409">
        <f>IF('Tabulka kvalifikace'!AC5="","",('Tabulka kvalifikace'!FS97))</f>
        <v>4</v>
      </c>
      <c r="E22" s="371">
        <f>IF('Tabulka kvalifikace'!AC5="","",('Tabulka kvalifikace'!FT97))</f>
        <v>5</v>
      </c>
      <c r="F22" s="24">
        <f>IF(D22="","",IF(AN22="",BU22,AN22))</f>
        <v>0</v>
      </c>
      <c r="G22" s="25"/>
      <c r="H22" s="371">
        <f>IF('Tabulka kvalifikace'!AC5="","",('Tabulka kvalifikace'!FW97))</f>
        <v>6</v>
      </c>
      <c r="I22" s="24">
        <f>IF(D22="","",IF(AS22="",BX22,AS22))</f>
        <v>5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5</v>
      </c>
      <c r="O22" s="453">
        <f>BF23</f>
        <v>6</v>
      </c>
      <c r="P22" s="427">
        <f>BK22</f>
        <v>0</v>
      </c>
      <c r="Q22" s="388" t="str">
        <f>IF($Q$8="","",(IF('Tabulka kvalifikace'!AC5="","",(DG22))))</f>
        <v>FII</v>
      </c>
      <c r="S22" s="56"/>
      <c r="T22" s="56"/>
      <c r="U22" s="294">
        <f>IF($Q$8="","",(IF('Tabulka kvalifikace'!AC5="","",(DH22))))</f>
        <v>2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5</v>
      </c>
      <c r="BE22" s="36" t="str">
        <f t="shared" ref="BE22:BE27" si="8">L22</f>
        <v/>
      </c>
      <c r="BF22" s="1">
        <f t="shared" ref="BF22:BF27" si="9">SUM(BC22:BE22)</f>
        <v>5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4</v>
      </c>
      <c r="BT22" s="371">
        <f>'Tabulka kvalifikace'!FT97</f>
        <v>5</v>
      </c>
      <c r="BU22" s="24">
        <f>'Tabulka kvalifikace'!FU97</f>
        <v>0</v>
      </c>
      <c r="BV22" s="25"/>
      <c r="BW22" s="371">
        <f>'Tabulka kvalifikace'!FW97</f>
        <v>6</v>
      </c>
      <c r="BX22" s="24">
        <f>'Tabulka kvalifikace'!FX97</f>
        <v>5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4</v>
      </c>
      <c r="CD22" s="36">
        <f>F22</f>
        <v>0</v>
      </c>
      <c r="CE22" s="36">
        <f>F23</f>
        <v>0</v>
      </c>
      <c r="CF22" s="152">
        <f>I22</f>
        <v>5</v>
      </c>
      <c r="CG22" s="153">
        <f>I23</f>
        <v>6</v>
      </c>
      <c r="CH22" s="36" t="str">
        <f>L22</f>
        <v/>
      </c>
      <c r="CI22" s="36" t="str">
        <f>L23</f>
        <v/>
      </c>
      <c r="CJ22" s="177">
        <f>N22</f>
        <v>5</v>
      </c>
      <c r="CK22" s="224">
        <f>O22</f>
        <v>6</v>
      </c>
      <c r="CN22" s="230">
        <f>IF(CD22=5,1,0)+IF(CF22=5,1,0)+IF(CH22=5,1,0)</f>
        <v>1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1050610095.041</v>
      </c>
      <c r="CU22" s="127">
        <f>LARGE($CS$22:$CS$24,CR22)</f>
        <v>1101520094.0509999</v>
      </c>
      <c r="CV22" s="36">
        <f>LEN(CU22)</f>
        <v>14</v>
      </c>
      <c r="CW22" s="36"/>
      <c r="CX22" s="36">
        <f>VALUE(MID(CU22,CV22-1,2))</f>
        <v>51</v>
      </c>
      <c r="CY22" s="36"/>
      <c r="CZ22" s="36">
        <f>100000+CX22*100+CZ3</f>
        <v>105101</v>
      </c>
      <c r="DA22" s="36">
        <f>SMALL($CZ$22:$CZ$24,CR22)</f>
        <v>104102</v>
      </c>
      <c r="DB22" s="36">
        <f>LEN(DA22)</f>
        <v>6</v>
      </c>
      <c r="DC22" s="36">
        <f>VALUE(MID(DA22,DB22-1,2))</f>
        <v>2</v>
      </c>
      <c r="DE22" s="36" t="str">
        <f>IF(DC22=$CZ$3,$DA$3,IF(DC22=$CZ$4,$DA$4,IF(DC22=$CZ$5,$DA$5,"")))</f>
        <v>FII</v>
      </c>
      <c r="DG22" s="36" t="str">
        <f>DE22</f>
        <v>FII</v>
      </c>
      <c r="DH22" s="36">
        <f>DC22</f>
        <v>2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0</v>
      </c>
      <c r="G23" s="28"/>
      <c r="H23" s="334"/>
      <c r="I23" s="29">
        <f>IF(D22="","",IF(AS23="",BX23,AS23))</f>
        <v>6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5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0</v>
      </c>
      <c r="BD23" s="36">
        <f t="shared" si="7"/>
        <v>6</v>
      </c>
      <c r="BE23" s="36" t="str">
        <f t="shared" si="8"/>
        <v/>
      </c>
      <c r="BF23" s="1">
        <f t="shared" si="9"/>
        <v>6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0</v>
      </c>
      <c r="BV23" s="28"/>
      <c r="BW23" s="334"/>
      <c r="BX23" s="27">
        <f>'Tabulka kvalifikace'!FY97</f>
        <v>6</v>
      </c>
      <c r="BY23" s="28"/>
      <c r="BZ23" s="411"/>
      <c r="CA23" s="27" t="str">
        <f>'Tabulka kvalifikace'!GB97</f>
        <v/>
      </c>
      <c r="CB23" s="28"/>
      <c r="CC23" s="228">
        <f>D24</f>
        <v>5</v>
      </c>
      <c r="CD23" s="36">
        <f>F24</f>
        <v>5</v>
      </c>
      <c r="CE23" s="36">
        <f>F25</f>
        <v>8</v>
      </c>
      <c r="CF23" s="152" t="str">
        <f>I24</f>
        <v/>
      </c>
      <c r="CG23" s="153" t="str">
        <f>I25</f>
        <v/>
      </c>
      <c r="CH23" s="36">
        <f>L24</f>
        <v>5</v>
      </c>
      <c r="CI23" s="36">
        <f>L25</f>
        <v>7</v>
      </c>
      <c r="CJ23" s="177">
        <f>N24</f>
        <v>10</v>
      </c>
      <c r="CK23" s="224">
        <f>O24</f>
        <v>15</v>
      </c>
      <c r="CN23" s="230">
        <f>IF(CD23=5,1,0)+IF(CF23=5,1,0)+IF(CH23=5,1,0)</f>
        <v>2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1101520094.0509999</v>
      </c>
      <c r="CU23" s="127">
        <f>LARGE($CS$22:$CS$24,CR23)</f>
        <v>1050610095.041</v>
      </c>
      <c r="CV23" s="36">
        <f>LEN(CU23)</f>
        <v>14</v>
      </c>
      <c r="CW23" s="36"/>
      <c r="CX23" s="36">
        <f>VALUE(MID(CU23,CV23-1,2))</f>
        <v>41</v>
      </c>
      <c r="CY23" s="36"/>
      <c r="CZ23" s="36">
        <f>100000+CX23*100+CZ4</f>
        <v>104102</v>
      </c>
      <c r="DA23" s="36">
        <f>SMALL($CZ$22:$CZ$24,CR23)</f>
        <v>105101</v>
      </c>
      <c r="DB23" s="36">
        <f>LEN(DA23)</f>
        <v>6</v>
      </c>
      <c r="DC23" s="36">
        <f>VALUE(MID(DA23,DB23-1,2))</f>
        <v>1</v>
      </c>
      <c r="DE23" s="36" t="str">
        <f>IF(DC23=$CZ$3,$DA$3,IF(DC23=$CZ$4,$DA$4,IF(DC23=$CZ$5,$DA$5,"")))</f>
        <v>FI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Brodacký Antonín</v>
      </c>
      <c r="B24" s="419" t="str">
        <f>IF('Tabulka kvalifikace'!AC5="","",(IF(D24="","",(INDEX($AC$10:$AC$41,D24)))))</f>
        <v>Hod.</v>
      </c>
      <c r="C24" s="420"/>
      <c r="D24" s="404">
        <f>IF('Tabulka kvalifikace'!AC5="","",('Tabulka kvalifikace'!FS98))</f>
        <v>5</v>
      </c>
      <c r="E24" s="334">
        <f>IF('Tabulka kvalifikace'!AC5="","",('Tabulka kvalifikace'!FT98))</f>
        <v>4</v>
      </c>
      <c r="F24" s="31">
        <f>IF(D24="","",IF(AN24="",BU24,AN24))</f>
        <v>5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6</v>
      </c>
      <c r="L24" s="31">
        <f>IF(D24="","",IF(AX24="",CA24,AX24))</f>
        <v>5</v>
      </c>
      <c r="M24" s="32"/>
      <c r="N24" s="423">
        <f>BF24</f>
        <v>10</v>
      </c>
      <c r="O24" s="425">
        <f>BF25</f>
        <v>15</v>
      </c>
      <c r="P24" s="421">
        <f>BK24</f>
        <v>0</v>
      </c>
      <c r="Q24" s="328" t="str">
        <f>IF($Q$8="","",(IF('Tabulka kvalifikace'!AC5="","",(DG24))))</f>
        <v>FI</v>
      </c>
      <c r="S24" s="56"/>
      <c r="T24" s="56"/>
      <c r="U24" s="294">
        <f>IF($Q$8="","",(IF('Tabulka kvalifikace'!AC5="","",(DH24))))</f>
        <v>1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5</v>
      </c>
      <c r="BF24" s="1">
        <f t="shared" si="9"/>
        <v>10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5</v>
      </c>
      <c r="BT24" s="334">
        <f>E24</f>
        <v>4</v>
      </c>
      <c r="BU24" s="31">
        <f>'Tabulka kvalifikace'!FU98</f>
        <v>5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6</v>
      </c>
      <c r="CA24" s="31">
        <f>'Tabulka kvalifikace'!GA98</f>
        <v>5</v>
      </c>
      <c r="CB24" s="32"/>
      <c r="CC24" s="229">
        <f>D26</f>
        <v>6</v>
      </c>
      <c r="CD24" s="81" t="str">
        <f>F26</f>
        <v/>
      </c>
      <c r="CE24" s="81" t="str">
        <f>F27</f>
        <v/>
      </c>
      <c r="CF24" s="220">
        <f>I26</f>
        <v>0</v>
      </c>
      <c r="CG24" s="221">
        <f>I27</f>
        <v>0</v>
      </c>
      <c r="CH24" s="81">
        <f>L26</f>
        <v>0</v>
      </c>
      <c r="CI24" s="81">
        <f>L27</f>
        <v>0</v>
      </c>
      <c r="CJ24" s="225">
        <f>N26</f>
        <v>0</v>
      </c>
      <c r="CK24" s="226">
        <f>O26</f>
        <v>0</v>
      </c>
      <c r="CN24" s="232">
        <f>IF(CD24=5,1,0)+IF(CF24=5,1,0)+IF(CH24=5,1,0)</f>
        <v>0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1000000093.061</v>
      </c>
      <c r="CU24" s="127">
        <f>LARGE($CS$22:$CS$24,CR24)</f>
        <v>1000000093.061</v>
      </c>
      <c r="CV24" s="36">
        <f>LEN(CU24)</f>
        <v>14</v>
      </c>
      <c r="CW24" s="36"/>
      <c r="CX24" s="36">
        <f>VALUE(MID(CU24,CV24-1,2))</f>
        <v>61</v>
      </c>
      <c r="CY24" s="36"/>
      <c r="CZ24" s="36">
        <f>100000+CX24*100+CZ5</f>
        <v>106103</v>
      </c>
      <c r="DA24" s="36">
        <f>SMALL($CZ$22:$CZ$24,CR24)</f>
        <v>106103</v>
      </c>
      <c r="DB24" s="36">
        <f>LEN(DA24)</f>
        <v>6</v>
      </c>
      <c r="DC24" s="36">
        <f>VALUE(MID(DA24,DB24-1,2))</f>
        <v>3</v>
      </c>
      <c r="DE24" s="36" t="str">
        <f>IF(DC24=$CZ$3,$DA$3,IF(DC24=$CZ$4,$DA$4,IF(DC24=$CZ$5,$DA$5,"")))</f>
        <v>FIII</v>
      </c>
      <c r="DG24" s="36" t="str">
        <f>DE23</f>
        <v>FI</v>
      </c>
      <c r="DH24" s="36">
        <f>DC23</f>
        <v>1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8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7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0</v>
      </c>
      <c r="AW25" s="334"/>
      <c r="AX25" s="27"/>
      <c r="AY25" s="28"/>
      <c r="AZ25" s="173"/>
      <c r="BC25" s="36">
        <f t="shared" si="6"/>
        <v>8</v>
      </c>
      <c r="BD25" s="36" t="str">
        <f t="shared" si="7"/>
        <v/>
      </c>
      <c r="BE25" s="36">
        <f t="shared" si="8"/>
        <v>7</v>
      </c>
      <c r="BF25" s="1">
        <f t="shared" si="9"/>
        <v>15</v>
      </c>
      <c r="BS25" s="410"/>
      <c r="BT25" s="334"/>
      <c r="BU25" s="29">
        <f>'Tabulka kvalifikace'!FV98</f>
        <v>8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7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Lukeš Mathyas</v>
      </c>
      <c r="B26" s="419" t="str">
        <f>IF('Tabulka kvalifikace'!AC5="","",(IF(D26="","",INDEX($AC$10:$AC$41,D26))))</f>
        <v>Tichá</v>
      </c>
      <c r="C26" s="420"/>
      <c r="D26" s="404">
        <f>IF('Tabulka kvalifikace'!AC5="","",('Tabulka kvalifikace'!FS99))</f>
        <v>6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4</v>
      </c>
      <c r="I26" s="26">
        <f>IF(D26="","",IF(AS26="",BX26,AS26))</f>
        <v>0</v>
      </c>
      <c r="J26" s="33"/>
      <c r="K26" s="411">
        <f>IF('Tabulka kvalifikace'!AC5="","",('Tabulka kvalifikace'!FZ99))</f>
        <v>5</v>
      </c>
      <c r="L26" s="26">
        <f>IF(D26="","",IF(AX26="",CA26,AX26))</f>
        <v>0</v>
      </c>
      <c r="M26" s="33"/>
      <c r="N26" s="423">
        <f>BF26</f>
        <v>0</v>
      </c>
      <c r="O26" s="425">
        <f>BF27</f>
        <v>0</v>
      </c>
      <c r="P26" s="421">
        <f>BK26</f>
        <v>0</v>
      </c>
      <c r="Q26" s="328" t="str">
        <f>IF($Q$8="","",(IF('Tabulka kvalifikace'!AC5="","",(DG26))))</f>
        <v>FIII</v>
      </c>
      <c r="S26" s="56"/>
      <c r="T26" s="56"/>
      <c r="U26" s="294">
        <f>IF($Q$8="","",(IF('Tabulka kvalifikace'!AC5="","",(DH26))))</f>
        <v>3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5</v>
      </c>
      <c r="AE26" s="36">
        <f>'Tabulka kvalifikace'!AA40</f>
        <v>6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0</v>
      </c>
      <c r="BE26" s="36">
        <f t="shared" si="8"/>
        <v>0</v>
      </c>
      <c r="BF26" s="1">
        <f t="shared" si="9"/>
        <v>0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6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4</v>
      </c>
      <c r="BX26" s="31">
        <f>'Tabulka kvalifikace'!FX99</f>
        <v>0</v>
      </c>
      <c r="BY26" s="32"/>
      <c r="BZ26" s="411">
        <f>'Tabulka kvalifikace'!FZ99</f>
        <v>5</v>
      </c>
      <c r="CA26" s="31">
        <f>'Tabulka kvalifikace'!GA99</f>
        <v>0</v>
      </c>
      <c r="CB26" s="32"/>
      <c r="CV26" s="36"/>
      <c r="CW26" s="36"/>
      <c r="CX26" s="36"/>
      <c r="CY26" s="36"/>
      <c r="CZ26" s="36"/>
      <c r="DG26" s="36" t="str">
        <f>DE24</f>
        <v>FIII</v>
      </c>
      <c r="DH26" s="36">
        <f>DC24</f>
        <v>3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0</v>
      </c>
      <c r="J27" s="30"/>
      <c r="K27" s="411"/>
      <c r="L27" s="255">
        <f>IF(D26="","",IF(AX27="",CA27,AX27))</f>
        <v>0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10</v>
      </c>
      <c r="AE27" s="36">
        <f>'Tabulka kvalifikace'!AA42</f>
        <v>15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0</v>
      </c>
      <c r="BE27" s="36">
        <f t="shared" si="8"/>
        <v>0</v>
      </c>
      <c r="BF27" s="1">
        <f t="shared" si="9"/>
        <v>0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0</v>
      </c>
      <c r="BY27" s="35"/>
      <c r="BZ27" s="413"/>
      <c r="CA27" s="34">
        <f>'Tabulka kvalifikace'!GB99</f>
        <v>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0</v>
      </c>
      <c r="AE28" s="36">
        <f>'Tabulka kvalifikace'!AA44</f>
        <v>0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 t="str">
        <f>'Tabulka kvalifikace'!Z46</f>
        <v/>
      </c>
      <c r="AE29" s="36" t="str">
        <f>'Tabulka kvalifikace'!AA46</f>
        <v/>
      </c>
      <c r="AF29" s="36" t="str">
        <f>'Tabulka kvalifikace'!AB46</f>
        <v/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1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0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6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0</v>
      </c>
      <c r="BU35" s="36">
        <f t="shared" ref="BU35:BU46" si="15">IF(BT35="",0,1)</f>
        <v>1</v>
      </c>
      <c r="BW35" s="36">
        <f t="shared" si="13"/>
        <v>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2</v>
      </c>
      <c r="CG35" s="173">
        <f>K46</f>
        <v>3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Pustowka Vojtěch</v>
      </c>
      <c r="B36" s="436" t="str">
        <f>IF(D36="","",INDEX($AC$10:$AC$41,D36))</f>
        <v>Třin.</v>
      </c>
      <c r="C36" s="472"/>
      <c r="D36" s="474">
        <f>IF($U$10=3,$D$10,IF($U$12=3,$D$12,IF($U$14=3,$D$14,"")))</f>
        <v>1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5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0</v>
      </c>
      <c r="CA36" s="36">
        <f t="shared" si="17"/>
        <v>1</v>
      </c>
      <c r="CF36" s="203">
        <f>D48</f>
        <v>4</v>
      </c>
      <c r="CG36" s="173">
        <f>K48</f>
        <v>4</v>
      </c>
      <c r="DK36" s="121">
        <f>D36</f>
        <v>1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6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0</v>
      </c>
      <c r="CA37" s="36">
        <f t="shared" si="17"/>
        <v>1</v>
      </c>
      <c r="CF37" s="203">
        <f>D56</f>
        <v>3</v>
      </c>
      <c r="CG37" s="173">
        <f>K56</f>
        <v>2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Lukeš Mathyas</v>
      </c>
      <c r="B38" s="419" t="str">
        <f>IF(D38="","",INDEX($AC$10:$AC$41,D38))</f>
        <v>Tichá</v>
      </c>
      <c r="C38" s="476"/>
      <c r="D38" s="475">
        <f>IF($U$22=3,$D$22,IF($U$24=3,$D$24,IF($U$26=3,$D$26,"")))</f>
        <v>6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5</v>
      </c>
      <c r="BX38" s="36">
        <f t="shared" si="16"/>
        <v>1</v>
      </c>
      <c r="BZ38" s="36">
        <f t="shared" si="14"/>
        <v>5</v>
      </c>
      <c r="CA38" s="36">
        <f t="shared" si="17"/>
        <v>1</v>
      </c>
      <c r="CF38" s="204">
        <f>D58</f>
        <v>5</v>
      </c>
      <c r="CG38" s="198">
        <f>K58</f>
        <v>1</v>
      </c>
      <c r="DK38" s="122">
        <f>D38</f>
        <v>6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4</v>
      </c>
      <c r="BX39" s="36">
        <f t="shared" si="16"/>
        <v>1</v>
      </c>
      <c r="BZ39" s="36">
        <f t="shared" si="14"/>
        <v>6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5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0</v>
      </c>
      <c r="BU42" s="36">
        <f t="shared" si="15"/>
        <v>1</v>
      </c>
      <c r="BW42" s="36">
        <f>I23</f>
        <v>6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5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8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7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0</v>
      </c>
      <c r="BX45" s="36">
        <f t="shared" si="16"/>
        <v>1</v>
      </c>
      <c r="BZ45" s="36">
        <f>L26</f>
        <v>0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Kačmařík Adam</v>
      </c>
      <c r="B46" s="436" t="str">
        <f>IF(D46="","",(INDEX($AC$10:$AC$41,D46)))</f>
        <v>Jabl.</v>
      </c>
      <c r="C46" s="472"/>
      <c r="D46" s="474">
        <f>IF($U$10=2,$D$10,IF($U$12=2,$D$12,IF($U$14=2,$D$14,"")))</f>
        <v>2</v>
      </c>
      <c r="E46" s="345" t="str">
        <f>IF(BM38=0,"",(CONCATENATE(D48)))</f>
        <v>4</v>
      </c>
      <c r="F46" s="24">
        <v>5</v>
      </c>
      <c r="G46" s="25"/>
      <c r="H46" s="457">
        <f>ABS(F46)</f>
        <v>5</v>
      </c>
      <c r="I46" s="453">
        <f>ABS(F47)</f>
        <v>4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3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0</v>
      </c>
      <c r="BX46" s="36">
        <f t="shared" si="16"/>
        <v>1</v>
      </c>
      <c r="BZ46" s="36">
        <f>L27</f>
        <v>0</v>
      </c>
      <c r="CA46" s="36">
        <f t="shared" si="17"/>
        <v>1</v>
      </c>
      <c r="CI46" s="122" t="str">
        <f>Q42</f>
        <v>x</v>
      </c>
      <c r="DK46" s="122">
        <f>D46</f>
        <v>2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4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VOMELA Patrik</v>
      </c>
      <c r="B48" s="419" t="str">
        <f>IF(D48="","",(INDEX($AC$10:$AC$41,D48)))</f>
        <v>H.Brod</v>
      </c>
      <c r="C48" s="476"/>
      <c r="D48" s="475">
        <f>IF($U$22=2,$D$22,IF($U$24=2,$D$24,IF($U$26=2,$D$26,"")))</f>
        <v>4</v>
      </c>
      <c r="E48" s="343" t="str">
        <f>IF(BM38=0,"",(CONCATENATE(D46)))</f>
        <v>2</v>
      </c>
      <c r="F48" s="31">
        <v>0</v>
      </c>
      <c r="G48" s="32"/>
      <c r="H48" s="451">
        <f>ABS(F48)</f>
        <v>0</v>
      </c>
      <c r="I48" s="438">
        <f>ABS(F49)</f>
        <v>2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4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4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2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1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Theodor Brož</v>
      </c>
      <c r="B56" s="436" t="str">
        <f>IF(D56="","",INDEX($AC$10:$AC$41,D56))</f>
        <v>N.Jič.</v>
      </c>
      <c r="C56" s="472"/>
      <c r="D56" s="474">
        <f>IF($U$10=1,$D$10,IF($U$12=1,$D$12,IF($U$14=1,$D$14,"")))</f>
        <v>3</v>
      </c>
      <c r="E56" s="345" t="str">
        <f>CONCATENATE(D58)</f>
        <v>5</v>
      </c>
      <c r="F56" s="24">
        <v>0</v>
      </c>
      <c r="G56" s="25"/>
      <c r="H56" s="457">
        <f>IF($AA$3="x",(ABS(F56)),0)</f>
        <v>0</v>
      </c>
      <c r="I56" s="453">
        <f>IF($AA$3="x",(ABS(F57)),0)</f>
        <v>0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2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6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0</v>
      </c>
      <c r="CE56" s="36">
        <f>(IF(K56=$CD$50,1,(IF(CD56="",0,1))))</f>
        <v>1</v>
      </c>
      <c r="DK56" s="122">
        <f>D56</f>
        <v>3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0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2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0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Brodacký Antonín</v>
      </c>
      <c r="B58" s="419" t="str">
        <f>IF(D58="","",INDEX($AC$10:$AC$41,D58))</f>
        <v>Hod.</v>
      </c>
      <c r="C58" s="476"/>
      <c r="D58" s="475">
        <f>IF($U$22=1,$D$22,IF($U$24=1,$D$24,IF($U$26=1,$D$26,"")))</f>
        <v>5</v>
      </c>
      <c r="E58" s="343" t="str">
        <f>CONCATENATE(D56)</f>
        <v>3</v>
      </c>
      <c r="F58" s="31">
        <v>5</v>
      </c>
      <c r="G58" s="32"/>
      <c r="H58" s="451">
        <f>IF($AA$3="x",(ABS(F58)),0)</f>
        <v>5</v>
      </c>
      <c r="I58" s="438">
        <f>IF($AA$3="x",(ABS(F59)),0)</f>
        <v>4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1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4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5</v>
      </c>
      <c r="CE58" s="36">
        <f>(IF(CD58="",0,1))</f>
        <v>1</v>
      </c>
      <c r="DK58" s="122">
        <f>D58</f>
        <v>5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33</v>
      </c>
      <c r="EI58"/>
      <c r="EJ58" s="36">
        <f t="shared" si="23"/>
        <v>0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4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3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4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35</v>
      </c>
      <c r="EI59"/>
      <c r="EJ59" s="36" t="str">
        <f t="shared" si="23"/>
        <v/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5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37</v>
      </c>
      <c r="EI60"/>
      <c r="EJ60" s="36" t="str">
        <f t="shared" si="23"/>
        <v/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 t="str">
        <f>'Tabulka kvalifikace'!D13</f>
        <v/>
      </c>
      <c r="DV61" s="36"/>
      <c r="ED61" s="36">
        <f>'Tabulka kvalifikace'!AD13</f>
        <v>0</v>
      </c>
      <c r="EE61"/>
      <c r="EF61" s="36">
        <f t="shared" si="21"/>
        <v>99</v>
      </c>
      <c r="EG61"/>
      <c r="EH61" s="36">
        <f t="shared" si="22"/>
        <v>99</v>
      </c>
      <c r="EI61"/>
      <c r="EJ61" s="36" t="str">
        <f t="shared" si="23"/>
        <v/>
      </c>
      <c r="EK61" s="36" t="str">
        <f t="shared" si="24"/>
        <v/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99</v>
      </c>
      <c r="EI62"/>
      <c r="EJ62" s="36" t="str">
        <f t="shared" si="23"/>
        <v/>
      </c>
      <c r="EK62" s="36" t="str">
        <f t="shared" si="24"/>
        <v/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 t="str">
        <f>'Tabulka kvalifikace'!D15</f>
        <v/>
      </c>
      <c r="DV63" s="36"/>
      <c r="ED63" s="36">
        <f>'Tabulka kvalifikace'!AD15</f>
        <v>0</v>
      </c>
      <c r="EE63"/>
      <c r="EF63" s="36">
        <f t="shared" si="21"/>
        <v>99</v>
      </c>
      <c r="EG63"/>
      <c r="EH63" s="36">
        <f t="shared" si="22"/>
        <v>99</v>
      </c>
      <c r="EI63"/>
      <c r="EJ63" s="36" t="str">
        <f t="shared" si="23"/>
        <v/>
      </c>
      <c r="EK63" s="36" t="str">
        <f t="shared" si="24"/>
        <v/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1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6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2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33</v>
      </c>
      <c r="BK77" s="1" t="str">
        <f t="shared" si="28"/>
        <v/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4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35</v>
      </c>
      <c r="BK78" s="1" t="str">
        <f t="shared" si="28"/>
        <v/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3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37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5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 t="str">
        <f>'Tabulka kvalifikace'!D13</f>
        <v/>
      </c>
      <c r="BD80" s="36">
        <f>'Tabulka kvalifikace'!AD13</f>
        <v>0</v>
      </c>
      <c r="BF80" s="1">
        <f t="shared" si="26"/>
        <v>999</v>
      </c>
      <c r="BH80" s="1">
        <f t="shared" si="27"/>
        <v>999</v>
      </c>
      <c r="BK80" s="1" t="str">
        <f t="shared" si="28"/>
        <v/>
      </c>
      <c r="BL80" s="1" t="str">
        <f t="shared" si="29"/>
        <v/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2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999</v>
      </c>
      <c r="BK81" s="1" t="str">
        <f t="shared" si="28"/>
        <v/>
      </c>
      <c r="BL81" s="1" t="str">
        <f t="shared" si="29"/>
        <v/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2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3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 t="str">
        <f>'Tabulka kvalifikace'!D15</f>
        <v/>
      </c>
      <c r="BD82" s="36">
        <f>'Tabulka kvalifikace'!AD15</f>
        <v>0</v>
      </c>
      <c r="BF82" s="1">
        <f t="shared" si="26"/>
        <v>999</v>
      </c>
      <c r="BH82" s="1">
        <f t="shared" si="27"/>
        <v>999</v>
      </c>
      <c r="BK82" s="1" t="str">
        <f t="shared" si="28"/>
        <v/>
      </c>
      <c r="BL82" s="1" t="str">
        <f t="shared" si="29"/>
        <v/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3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4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4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5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5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6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6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33</v>
      </c>
      <c r="KG91" s="36">
        <f>IF(KE91=99,"",(INDEX($DN$55:$DN$124,KE91)))</f>
        <v>0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35</v>
      </c>
      <c r="KG92" s="36" t="str">
        <f>IF(KE92=99,"",(INDEX($DN$55:$DN$124,KE92)))</f>
        <v/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4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0</v>
      </c>
      <c r="GC93" s="36">
        <f>'Tabulka kvalifikace'!DM81</f>
        <v>0</v>
      </c>
      <c r="GD93" s="36">
        <f>'Tabulka kvalifikace'!DS81</f>
        <v>0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10000000000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0</v>
      </c>
      <c r="GV93" s="36">
        <f>GC93+GL93</f>
        <v>0</v>
      </c>
      <c r="GW93" s="36">
        <f>GD93+GM93</f>
        <v>0</v>
      </c>
      <c r="GX93" s="36">
        <f>GE93+GN93</f>
        <v>0</v>
      </c>
      <c r="GY93" s="36">
        <f>GF93+GO93</f>
        <v>0</v>
      </c>
      <c r="GZ93" s="36">
        <f>GH93+GP93</f>
        <v>1</v>
      </c>
      <c r="HA93" s="488">
        <f>(IF(GS93=$AZ$92,$HA$88,(((((((((400)+GU93)*10+GG93)*100+GV93)*10+GW93)*10+GX93)*10)+GY93)*100+GT93)))+GQ93</f>
        <v>50050000001</v>
      </c>
      <c r="HB93" s="288"/>
      <c r="HC93" s="36">
        <f>LEN(HE93)</f>
        <v>11</v>
      </c>
      <c r="HE93">
        <f>LARGE($HA$93:$HB$124,GR93)</f>
        <v>81071510005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5</v>
      </c>
      <c r="HI93" s="36">
        <v>1</v>
      </c>
      <c r="HJ93" s="36"/>
      <c r="HK93" s="36"/>
      <c r="HL93" s="36"/>
      <c r="HM93">
        <f>IF(HH93="",$HM$90*2,($HM$90+HH93*100+HI93))</f>
        <v>10501</v>
      </c>
      <c r="HN93">
        <f>SMALL($HM$93:$HM$124,HI93)</f>
        <v>10106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6</v>
      </c>
      <c r="HS93" s="36" t="s">
        <v>61</v>
      </c>
      <c r="HT93" s="36">
        <f>D56</f>
        <v>3</v>
      </c>
      <c r="HU93" s="36">
        <f t="shared" ref="HU93:HU96" si="43">IF(HQ93="","",(INDEX($HQ$93:$HQ$124,HT93)))</f>
        <v>2</v>
      </c>
      <c r="IA93" s="36">
        <f>HU93</f>
        <v>2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5</v>
      </c>
      <c r="GC94" s="36">
        <f>'Tabulka kvalifikace'!DM82</f>
        <v>6</v>
      </c>
      <c r="GD94" s="36">
        <f>'Tabulka kvalifikace'!DS82</f>
        <v>1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6</v>
      </c>
      <c r="GH94" s="36">
        <f>'Tabulka kvalifikace'!DW82</f>
        <v>0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20000000000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5</v>
      </c>
      <c r="GV94" s="36">
        <f t="shared" ref="GV94:GV124" si="57">GC94+GL94</f>
        <v>6</v>
      </c>
      <c r="GW94" s="36">
        <f t="shared" ref="GW94:GW124" si="58">GD94+GM94</f>
        <v>1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0</v>
      </c>
      <c r="HA94" s="488">
        <f t="shared" ref="HA94:HA124" si="62">(IF(GS94=$AZ$92,$HA$88,(((((((((400)+GU94)*10+GG94)*100+GV94)*10+GW94)*10+GX94)*10)+GY94)*100+GT94)))+GQ94</f>
        <v>60560610002</v>
      </c>
      <c r="HB94" s="288"/>
      <c r="HC94" s="36">
        <f t="shared" ref="HC94:HC124" si="63">LEN(HA94)</f>
        <v>11</v>
      </c>
      <c r="HE94">
        <f t="shared" ref="HE94:HE124" si="64">LARGE($HA$93:$HB$124,GR94)</f>
        <v>81071010003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3</v>
      </c>
      <c r="HI94" s="36">
        <f>HI93+1</f>
        <v>2</v>
      </c>
      <c r="HJ94" s="36"/>
      <c r="HK94" s="36"/>
      <c r="HL94" s="36"/>
      <c r="HM94">
        <f>IF(HH94="",$HM$90*2,($HM$90+HH94*100+HI94))</f>
        <v>10302</v>
      </c>
      <c r="HN94">
        <f t="shared" ref="HN94:HN124" si="68">SMALL($HM$93:$HM$124,HI94)</f>
        <v>10203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3</v>
      </c>
      <c r="HS94" s="36" t="s">
        <v>61</v>
      </c>
      <c r="HT94" s="36">
        <f>D58</f>
        <v>5</v>
      </c>
      <c r="HU94" s="36">
        <f t="shared" si="43"/>
        <v>1</v>
      </c>
      <c r="IA94" s="36">
        <f>HU94</f>
        <v>1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5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10</v>
      </c>
      <c r="GC95" s="36">
        <f>'Tabulka kvalifikace'!DM83</f>
        <v>10</v>
      </c>
      <c r="GD95" s="36">
        <f>'Tabulka kvalifikace'!DS83</f>
        <v>1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7</v>
      </c>
      <c r="GH95" s="36">
        <f>'Tabulka kvalifikace'!DW83</f>
        <v>0</v>
      </c>
      <c r="GI95" s="149" t="str">
        <f>'Tabulka kvalifikace'!DR83</f>
        <v>F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40000000000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10</v>
      </c>
      <c r="GV95" s="36">
        <f t="shared" si="57"/>
        <v>10</v>
      </c>
      <c r="GW95" s="36">
        <f t="shared" si="58"/>
        <v>1</v>
      </c>
      <c r="GX95" s="36">
        <f t="shared" si="59"/>
        <v>0</v>
      </c>
      <c r="GY95" s="36">
        <f t="shared" si="60"/>
        <v>0</v>
      </c>
      <c r="GZ95" s="36">
        <f t="shared" si="61"/>
        <v>0</v>
      </c>
      <c r="HA95" s="488">
        <f t="shared" si="62"/>
        <v>81071010003</v>
      </c>
      <c r="HB95" s="288"/>
      <c r="HC95" s="36">
        <f t="shared" si="63"/>
        <v>11</v>
      </c>
      <c r="HE95">
        <f t="shared" si="64"/>
        <v>60560610004</v>
      </c>
      <c r="HF95" s="36">
        <f t="shared" si="65"/>
        <v>11</v>
      </c>
      <c r="HG95" s="36">
        <f t="shared" si="66"/>
        <v>6</v>
      </c>
      <c r="HH95" s="36">
        <f t="shared" si="67"/>
        <v>4</v>
      </c>
      <c r="HI95" s="36">
        <f t="shared" ref="HI95:HI124" si="73">HI94+1</f>
        <v>3</v>
      </c>
      <c r="HJ95" s="36">
        <f>VALUE(MID(HE95,1,HF95-2))</f>
        <v>605606100</v>
      </c>
      <c r="HK95" s="36">
        <v>3</v>
      </c>
      <c r="HL95" s="36"/>
      <c r="HM95">
        <f>IF(HH95="",$HM$90*2,($HM$90+HH95*100+HK95))</f>
        <v>10403</v>
      </c>
      <c r="HN95">
        <f t="shared" si="68"/>
        <v>10302</v>
      </c>
      <c r="HO95" s="36">
        <f t="shared" si="69"/>
        <v>5</v>
      </c>
      <c r="HP95" s="36">
        <f t="shared" si="70"/>
        <v>3</v>
      </c>
      <c r="HQ95" s="36">
        <f t="shared" si="71"/>
        <v>2</v>
      </c>
      <c r="HS95" s="36" t="s">
        <v>62</v>
      </c>
      <c r="HT95" s="36">
        <f>D46</f>
        <v>2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999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 t="str">
        <f>'Tabulka kvalifikace'!DJ84</f>
        <v/>
      </c>
      <c r="GB96" s="36">
        <f>'Tabulka kvalifikace'!DL84</f>
        <v>0</v>
      </c>
      <c r="GC96" s="36">
        <f>'Tabulka kvalifikace'!DM84</f>
        <v>0</v>
      </c>
      <c r="GD96" s="36">
        <f>'Tabulka kvalifikace'!DS84</f>
        <v>0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0</v>
      </c>
      <c r="GH96" s="36">
        <f>'Tabulka kvalifikace'!DW84</f>
        <v>0</v>
      </c>
      <c r="GI96" s="149" t="str">
        <f>'Tabulka kvalifikace'!DR84</f>
        <v/>
      </c>
      <c r="GJ96" s="136">
        <f t="shared" si="45"/>
        <v>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0</v>
      </c>
      <c r="GR96" s="138">
        <f t="shared" si="53"/>
        <v>4</v>
      </c>
      <c r="GS96" s="36">
        <f t="shared" si="54"/>
        <v>999</v>
      </c>
      <c r="GT96" s="36" t="str">
        <f t="shared" si="55"/>
        <v/>
      </c>
      <c r="GU96" s="36">
        <f t="shared" si="56"/>
        <v>0</v>
      </c>
      <c r="GV96" s="36">
        <f t="shared" si="57"/>
        <v>0</v>
      </c>
      <c r="GW96" s="36">
        <f t="shared" si="58"/>
        <v>0</v>
      </c>
      <c r="GX96" s="36">
        <f t="shared" si="59"/>
        <v>0</v>
      </c>
      <c r="GY96" s="36">
        <f t="shared" si="60"/>
        <v>0</v>
      </c>
      <c r="GZ96" s="36">
        <f t="shared" si="61"/>
        <v>0</v>
      </c>
      <c r="HA96" s="488">
        <f t="shared" si="62"/>
        <v>10000000000</v>
      </c>
      <c r="HB96" s="288"/>
      <c r="HC96" s="36">
        <f t="shared" si="63"/>
        <v>11</v>
      </c>
      <c r="HE96">
        <f t="shared" si="64"/>
        <v>60560610002</v>
      </c>
      <c r="HF96" s="36">
        <f t="shared" si="65"/>
        <v>11</v>
      </c>
      <c r="HG96" s="36">
        <f t="shared" si="66"/>
        <v>6</v>
      </c>
      <c r="HH96" s="36">
        <f t="shared" si="67"/>
        <v>2</v>
      </c>
      <c r="HI96" s="36">
        <f t="shared" si="73"/>
        <v>4</v>
      </c>
      <c r="HJ96" s="36">
        <f>VALUE(MID(HE96,1,HF96-2))</f>
        <v>605606100</v>
      </c>
      <c r="HK96" s="36">
        <f>IF(HJ95=HJ96,HK95,HK95+1)</f>
        <v>3</v>
      </c>
      <c r="HL96" s="36"/>
      <c r="HM96">
        <f>IF(HH96="",$HM$90*2,($HM$90+HH96*100+HK96))</f>
        <v>10203</v>
      </c>
      <c r="HN96">
        <f t="shared" si="68"/>
        <v>10403</v>
      </c>
      <c r="HO96" s="36">
        <f t="shared" si="69"/>
        <v>5</v>
      </c>
      <c r="HP96" s="36">
        <f t="shared" si="70"/>
        <v>4</v>
      </c>
      <c r="HQ96" s="36">
        <f t="shared" si="71"/>
        <v>3</v>
      </c>
      <c r="HS96" s="36" t="s">
        <v>62</v>
      </c>
      <c r="HT96" s="36">
        <f>D48</f>
        <v>4</v>
      </c>
      <c r="HU96" s="36">
        <f t="shared" si="43"/>
        <v>3</v>
      </c>
      <c r="HW96" s="36">
        <f>HU96</f>
        <v>3</v>
      </c>
      <c r="IA96" s="36"/>
    </row>
    <row r="97" spans="51:235" hidden="1" x14ac:dyDescent="0.25">
      <c r="AY97" s="36">
        <f t="shared" si="72"/>
        <v>5</v>
      </c>
      <c r="AZ97" s="36">
        <f t="shared" si="44"/>
        <v>999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6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 t="str">
        <f>'Tabulka kvalifikace'!DJ85</f>
        <v/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0</v>
      </c>
      <c r="GH97" s="36">
        <f>'Tabulka kvalifikace'!DW85</f>
        <v>0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999</v>
      </c>
      <c r="GT97" s="36" t="str">
        <f t="shared" si="55"/>
        <v/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88">
        <f t="shared" si="62"/>
        <v>10000000000</v>
      </c>
      <c r="HB97" s="288"/>
      <c r="HC97" s="36">
        <f t="shared" si="63"/>
        <v>11</v>
      </c>
      <c r="HE97">
        <f t="shared" si="64"/>
        <v>50050000006</v>
      </c>
      <c r="HF97" s="36">
        <f t="shared" si="65"/>
        <v>11</v>
      </c>
      <c r="HG97" s="36">
        <f t="shared" si="66"/>
        <v>5</v>
      </c>
      <c r="HH97" s="36">
        <f t="shared" si="67"/>
        <v>6</v>
      </c>
      <c r="HI97" s="36">
        <f t="shared" si="73"/>
        <v>5</v>
      </c>
      <c r="HJ97" s="36">
        <f>VALUE(MID(HE97,1,HF97-2))</f>
        <v>500500000</v>
      </c>
      <c r="HK97" s="36">
        <v>5</v>
      </c>
      <c r="HL97" s="36"/>
      <c r="HM97">
        <f>IF(HH97="",$HM$90*2,($HM$90+HH97*100+HK97))</f>
        <v>10605</v>
      </c>
      <c r="HN97">
        <f t="shared" si="68"/>
        <v>10501</v>
      </c>
      <c r="HO97" s="36">
        <f t="shared" si="69"/>
        <v>5</v>
      </c>
      <c r="HP97" s="36">
        <f t="shared" si="70"/>
        <v>5</v>
      </c>
      <c r="HQ97" s="36">
        <f t="shared" si="71"/>
        <v>1</v>
      </c>
      <c r="HS97" s="36" t="s">
        <v>63</v>
      </c>
      <c r="HT97" s="36">
        <f>D36</f>
        <v>1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50050000001</v>
      </c>
      <c r="HF98" s="36">
        <f t="shared" si="65"/>
        <v>11</v>
      </c>
      <c r="HG98" s="36">
        <f t="shared" si="66"/>
        <v>5</v>
      </c>
      <c r="HH98" s="36">
        <f t="shared" si="67"/>
        <v>1</v>
      </c>
      <c r="HI98" s="36">
        <f t="shared" si="73"/>
        <v>6</v>
      </c>
      <c r="HJ98" s="36">
        <f>VALUE(MID(HE98,1,HF98-2))</f>
        <v>500500000</v>
      </c>
      <c r="HK98" s="36">
        <v>6</v>
      </c>
      <c r="HL98" s="36"/>
      <c r="HM98">
        <f>IF(HH98="",$HM$90*2,($HM$90+HH98*100+HK98))</f>
        <v>10106</v>
      </c>
      <c r="HN98">
        <f t="shared" si="68"/>
        <v>10605</v>
      </c>
      <c r="HO98" s="36">
        <f t="shared" si="69"/>
        <v>5</v>
      </c>
      <c r="HP98" s="36">
        <f t="shared" si="70"/>
        <v>6</v>
      </c>
      <c r="HQ98" s="36">
        <f t="shared" si="71"/>
        <v>5</v>
      </c>
      <c r="HS98" s="36" t="s">
        <v>63</v>
      </c>
      <c r="HT98" s="36">
        <f>D38</f>
        <v>6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 t="str">
        <f>'Tabulka kvalifikace'!D46</f>
        <v/>
      </c>
      <c r="DV99" s="36"/>
      <c r="ED99" s="36">
        <f>'Tabulka kvalifikace'!AD46</f>
        <v>0</v>
      </c>
      <c r="EF99" s="36">
        <f t="shared" si="21"/>
        <v>99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10000000000</v>
      </c>
      <c r="HF99" s="36">
        <f t="shared" si="65"/>
        <v>11</v>
      </c>
      <c r="HG99" s="36">
        <f t="shared" si="66"/>
        <v>1</v>
      </c>
      <c r="HH99" s="36" t="str">
        <f t="shared" si="67"/>
        <v/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20000</v>
      </c>
      <c r="HN99">
        <f t="shared" si="68"/>
        <v>20000</v>
      </c>
      <c r="HO99" s="36">
        <f t="shared" si="69"/>
        <v>5</v>
      </c>
      <c r="HP99" s="36" t="str">
        <f t="shared" si="70"/>
        <v/>
      </c>
      <c r="HQ99" s="36" t="str">
        <f t="shared" si="71"/>
        <v/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10000000000</v>
      </c>
      <c r="HF100" s="36">
        <f t="shared" si="65"/>
        <v>11</v>
      </c>
      <c r="HG100" s="36">
        <f t="shared" si="66"/>
        <v>1</v>
      </c>
      <c r="HH100" s="36" t="str">
        <f t="shared" si="67"/>
        <v/>
      </c>
      <c r="HI100" s="36">
        <f t="shared" si="73"/>
        <v>8</v>
      </c>
      <c r="HJ100" s="36"/>
      <c r="HK100" s="36"/>
      <c r="HL100" s="36"/>
      <c r="HM100">
        <f t="shared" si="74"/>
        <v>20000</v>
      </c>
      <c r="HN100">
        <f t="shared" si="68"/>
        <v>20000</v>
      </c>
      <c r="HO100" s="36">
        <f t="shared" si="69"/>
        <v>5</v>
      </c>
      <c r="HP100" s="36" t="str">
        <f t="shared" si="70"/>
        <v/>
      </c>
      <c r="HQ100" s="36" t="str">
        <f t="shared" si="71"/>
        <v/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10000000000</v>
      </c>
      <c r="HF101" s="36">
        <f t="shared" si="65"/>
        <v>11</v>
      </c>
      <c r="HG101" s="36">
        <f t="shared" si="66"/>
        <v>1</v>
      </c>
      <c r="HH101" s="36" t="str">
        <f t="shared" si="67"/>
        <v/>
      </c>
      <c r="HI101" s="36">
        <f t="shared" si="73"/>
        <v>9</v>
      </c>
      <c r="HJ101" s="36"/>
      <c r="HK101" s="36"/>
      <c r="HL101" s="36"/>
      <c r="HM101">
        <f t="shared" si="74"/>
        <v>20000</v>
      </c>
      <c r="HN101">
        <f>SMALL($HM$93:$HM$124,HI101)</f>
        <v>20000</v>
      </c>
      <c r="HO101" s="36">
        <f t="shared" si="69"/>
        <v>5</v>
      </c>
      <c r="HP101" s="36" t="str">
        <f t="shared" si="70"/>
        <v/>
      </c>
      <c r="HQ101" s="36" t="str">
        <f>IF(HN101=($HM$90*2),"",(VALUE(MID(HN101,HO101-1,2))))</f>
        <v/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4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4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4</v>
      </c>
      <c r="GB109" s="36">
        <f>'Tabulka kvalifikace'!DL97</f>
        <v>5</v>
      </c>
      <c r="GC109" s="36">
        <f>'Tabulka kvalifikace'!DM97</f>
        <v>6</v>
      </c>
      <c r="GD109" s="36">
        <f>'Tabulka kvalifikace'!DS97</f>
        <v>1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6</v>
      </c>
      <c r="GH109" s="36">
        <f>'Tabulka kvalifikace'!DW97</f>
        <v>0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20000000000</v>
      </c>
      <c r="GR109" s="138">
        <f t="shared" si="53"/>
        <v>17</v>
      </c>
      <c r="GS109" s="36">
        <f t="shared" si="54"/>
        <v>4</v>
      </c>
      <c r="GT109" s="36">
        <f t="shared" si="55"/>
        <v>4</v>
      </c>
      <c r="GU109" s="36">
        <f t="shared" si="56"/>
        <v>5</v>
      </c>
      <c r="GV109" s="36">
        <f t="shared" si="57"/>
        <v>6</v>
      </c>
      <c r="GW109" s="36">
        <f t="shared" si="58"/>
        <v>1</v>
      </c>
      <c r="GX109" s="36">
        <f t="shared" si="59"/>
        <v>0</v>
      </c>
      <c r="GY109" s="36">
        <f t="shared" si="60"/>
        <v>0</v>
      </c>
      <c r="GZ109" s="36">
        <f t="shared" si="61"/>
        <v>0</v>
      </c>
      <c r="HA109" s="488">
        <f t="shared" si="62"/>
        <v>60560610004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5</v>
      </c>
      <c r="BB110" s="36">
        <f t="shared" si="31"/>
        <v>35</v>
      </c>
      <c r="BC110" s="36">
        <f>'Tabulka kvalifikace'!D42</f>
        <v>5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5</v>
      </c>
      <c r="GB110" s="36">
        <f>'Tabulka kvalifikace'!DL98</f>
        <v>10</v>
      </c>
      <c r="GC110" s="36">
        <f>'Tabulka kvalifikace'!DM98</f>
        <v>15</v>
      </c>
      <c r="GD110" s="36">
        <f>'Tabulka kvalifikace'!DS98</f>
        <v>1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7</v>
      </c>
      <c r="GH110" s="36">
        <f>'Tabulka kvalifikace'!DW98</f>
        <v>0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40000000000</v>
      </c>
      <c r="GR110" s="138">
        <f t="shared" si="53"/>
        <v>18</v>
      </c>
      <c r="GS110" s="36">
        <f t="shared" si="54"/>
        <v>5</v>
      </c>
      <c r="GT110" s="36">
        <f t="shared" si="55"/>
        <v>5</v>
      </c>
      <c r="GU110" s="36">
        <f t="shared" si="56"/>
        <v>10</v>
      </c>
      <c r="GV110" s="36">
        <f t="shared" si="57"/>
        <v>15</v>
      </c>
      <c r="GW110" s="36">
        <f t="shared" si="58"/>
        <v>1</v>
      </c>
      <c r="GX110" s="36">
        <f t="shared" si="59"/>
        <v>0</v>
      </c>
      <c r="GY110" s="36">
        <f t="shared" si="60"/>
        <v>0</v>
      </c>
      <c r="GZ110" s="36">
        <f t="shared" si="61"/>
        <v>0</v>
      </c>
      <c r="HA110" s="488">
        <f t="shared" si="62"/>
        <v>81071510005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6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6</v>
      </c>
      <c r="GB111" s="36">
        <f>'Tabulka kvalifikace'!DL99</f>
        <v>0</v>
      </c>
      <c r="GC111" s="36">
        <f>'Tabulka kvalifikace'!DM99</f>
        <v>0</v>
      </c>
      <c r="GD111" s="36">
        <f>'Tabulka kvalifikace'!DS99</f>
        <v>0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10000000000</v>
      </c>
      <c r="GR111" s="138">
        <f t="shared" si="53"/>
        <v>19</v>
      </c>
      <c r="GS111" s="36">
        <f t="shared" si="54"/>
        <v>6</v>
      </c>
      <c r="GT111" s="36">
        <f t="shared" si="55"/>
        <v>6</v>
      </c>
      <c r="GU111" s="36">
        <f t="shared" si="56"/>
        <v>0</v>
      </c>
      <c r="GV111" s="36">
        <f t="shared" si="57"/>
        <v>0</v>
      </c>
      <c r="GW111" s="36">
        <f t="shared" si="58"/>
        <v>0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88">
        <f t="shared" si="62"/>
        <v>50050000006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999</v>
      </c>
      <c r="BB112" s="36">
        <f t="shared" si="31"/>
        <v>37</v>
      </c>
      <c r="BC112" s="36">
        <f>'Tabulka kvalifikace'!D44</f>
        <v>6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 t="str">
        <f>'Tabulka kvalifikace'!DJ100</f>
        <v/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0</v>
      </c>
      <c r="GH112" s="36">
        <f>'Tabulka kvalifikace'!DW100</f>
        <v>0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999</v>
      </c>
      <c r="GT112" s="36" t="str">
        <f t="shared" si="55"/>
        <v/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88">
        <f t="shared" si="62"/>
        <v>10000000000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 t="str">
        <f>'Tabulka kvalifikace'!D46</f>
        <v/>
      </c>
      <c r="BD114" s="36">
        <f>'Tabulka kvalifikace'!AD46</f>
        <v>0</v>
      </c>
      <c r="BF114" s="1">
        <f t="shared" si="26"/>
        <v>999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2024-01-27T15:05:00Z</cp:lastPrinted>
  <dcterms:created xsi:type="dcterms:W3CDTF">2002-01-25T08:02:23Z</dcterms:created>
  <dcterms:modified xsi:type="dcterms:W3CDTF">2024-01-28T12:43:34Z</dcterms:modified>
</cp:coreProperties>
</file>