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5931F237-CF87-408E-94B0-36A32DDAAFEC}" xr6:coauthVersionLast="47" xr6:coauthVersionMax="47" xr10:uidLastSave="{00000000-0000-0000-0000-000000000000}"/>
  <bookViews>
    <workbookView xWindow="-108" yWindow="-108" windowWidth="23256" windowHeight="12576" tabRatio="751" activeTab="3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zápasníků'!$A$1:$C$17</definedName>
    <definedName name="_xlnm.Print_Area" localSheetId="3">'Tabulka finále'!$A$1:$U$59</definedName>
    <definedName name="_xlnm.Print_Area" localSheetId="2">'Tabulka kvalifikace'!$A$1:$AE$47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GP28" i="1" l="1"/>
  <c r="JV39" i="4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R17" i="1"/>
  <c r="AS18" i="1" s="1"/>
  <c r="AF17" i="1"/>
  <c r="BM17" i="1" s="1"/>
  <c r="DY17" i="1" s="1"/>
  <c r="AE17" i="1"/>
  <c r="AS17" i="1" l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CH14" i="1"/>
  <c r="AU14" i="1"/>
  <c r="AO14" i="1"/>
  <c r="AQ15" i="1" s="1"/>
  <c r="AF14" i="1"/>
  <c r="BM14" i="1" s="1"/>
  <c r="BO15" i="1" s="1"/>
  <c r="AE14" i="1"/>
  <c r="BN16" i="1" l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F14" i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GI14" i="1" s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E13" i="1"/>
  <c r="GA16" i="1" l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FQ25" i="1" s="1"/>
  <c r="FP25" i="1" s="1"/>
  <c r="FO25" i="1" s="1"/>
  <c r="FN25" i="1" s="1"/>
  <c r="FM25" i="1" s="1"/>
  <c r="FL25" i="1" s="1"/>
  <c r="FK25" i="1" s="1"/>
  <c r="FJ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M13" i="1"/>
  <c r="AJ13" i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AJ11" i="1" l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BH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BV12" i="1" l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FT8" i="1" s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GT10" i="1" s="1"/>
  <c r="GS10" i="1" s="1"/>
  <c r="GR10" i="1" s="1"/>
  <c r="GQ10" i="1" s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D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GI13" i="1" l="1"/>
  <c r="AP40" i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GS7" i="1" s="1"/>
  <c r="GR7" i="1" s="1"/>
  <c r="GQ7" i="1" s="1"/>
  <c r="GP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AZ10" i="1" l="1"/>
  <c r="GD10" i="1" s="1"/>
  <c r="GC10" i="1" s="1"/>
  <c r="GB10" i="1" s="1"/>
  <c r="GA10" i="1" s="1"/>
  <c r="FZ10" i="1" s="1"/>
  <c r="FY10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AV40" i="1" l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DX86" i="4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3" i="21" l="1"/>
  <c r="A24" i="21"/>
  <c r="AN152" i="4"/>
  <c r="AI152" i="4"/>
  <c r="AS152" i="4"/>
  <c r="AI153" i="4"/>
  <c r="AN153" i="4"/>
  <c r="AS153" i="4"/>
  <c r="CM7" i="4"/>
  <c r="BB100" i="11"/>
  <c r="DM83" i="11"/>
  <c r="FT44" i="4"/>
  <c r="C23" i="21" l="1"/>
  <c r="H23" i="21"/>
  <c r="B23" i="21"/>
  <c r="K23" i="21"/>
  <c r="F23" i="21"/>
  <c r="C24" i="21"/>
  <c r="B24" i="21"/>
  <c r="F24" i="21"/>
  <c r="H24" i="21"/>
  <c r="K24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A19" i="21" l="1"/>
  <c r="A20" i="21"/>
  <c r="C21" i="21"/>
  <c r="B21" i="21"/>
  <c r="K21" i="21"/>
  <c r="F21" i="21"/>
  <c r="H21" i="21"/>
  <c r="A17" i="21"/>
  <c r="AI168" i="4"/>
  <c r="AJ72" i="4" s="1"/>
  <c r="AI169" i="4"/>
  <c r="AJ73" i="4" s="1"/>
  <c r="DM94" i="11"/>
  <c r="BB109" i="11"/>
  <c r="FT53" i="4"/>
  <c r="C19" i="21" l="1"/>
  <c r="K19" i="21"/>
  <c r="H19" i="21"/>
  <c r="F19" i="21"/>
  <c r="B19" i="21"/>
  <c r="C20" i="21"/>
  <c r="F20" i="21"/>
  <c r="K20" i="21"/>
  <c r="B20" i="21"/>
  <c r="H20" i="21"/>
  <c r="C17" i="21"/>
  <c r="K17" i="21"/>
  <c r="H17" i="21"/>
  <c r="B17" i="21"/>
  <c r="F17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B47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BC114" i="11"/>
  <c r="BF114" i="11" s="1"/>
  <c r="IQ55" i="4"/>
  <c r="AC29" i="3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EC43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CO50" i="4"/>
  <c r="CD50" i="4"/>
  <c r="DQ109" i="4"/>
  <c r="DW109" i="4" s="1"/>
  <c r="GH121" i="11" s="1"/>
  <c r="AC32" i="3"/>
  <c r="AG32" i="3"/>
  <c r="AC37" i="3"/>
  <c r="AG37" i="3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22" i="21" l="1"/>
  <c r="F22" i="21"/>
  <c r="K22" i="21"/>
  <c r="B22" i="21"/>
  <c r="H22" i="21"/>
  <c r="C18" i="21"/>
  <c r="H18" i="21"/>
  <c r="K18" i="21"/>
  <c r="B18" i="21"/>
  <c r="F18" i="21"/>
  <c r="C52" i="4"/>
  <c r="DJ101" i="4"/>
  <c r="CO43" i="4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15" i="3"/>
  <c r="AJ15" i="3" s="1"/>
  <c r="AK15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EK95" i="11" l="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L14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GT111" i="11" l="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CP11" i="4" s="1"/>
  <c r="CR11" i="4" s="1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CE45" i="4" l="1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GH98" i="11" s="1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BW17" i="4"/>
  <c r="BV17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CF40" i="4" l="1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CH40" i="4" l="1"/>
  <c r="CI40" i="4" s="1"/>
  <c r="CK35" i="4" s="1"/>
  <c r="CK39" i="4" s="1"/>
  <c r="CM44" i="4" s="1"/>
  <c r="CP44" i="4" s="1"/>
  <c r="CR44" i="4" s="1"/>
  <c r="EE11" i="4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AH159" i="4" s="1"/>
  <c r="AI63" i="4" s="1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L10" i="4" l="1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B8" i="4" s="1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CM40" i="4" l="1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AI159" i="4" s="1"/>
  <c r="AJ63" i="4" s="1"/>
  <c r="DP12" i="4"/>
  <c r="AJ94" i="4"/>
  <c r="DP10" i="4"/>
  <c r="AJ92" i="4"/>
  <c r="BX70" i="4"/>
  <c r="BY69" i="4"/>
  <c r="DS9" i="4" l="1"/>
  <c r="DS8" i="4"/>
  <c r="DS7" i="4"/>
  <c r="AJ89" i="4"/>
  <c r="DP7" i="4"/>
  <c r="DR12" i="4" s="1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DR13" i="4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EN13" i="4" l="1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DT13" i="4"/>
  <c r="DV19" i="4" s="1"/>
  <c r="K19" i="4" s="1"/>
  <c r="CE87" i="4" s="1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DT21" i="4"/>
  <c r="DV35" i="4" s="1"/>
  <c r="K35" i="4" s="1"/>
  <c r="L120" i="4" s="1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ES13" i="4"/>
  <c r="FG16" i="4"/>
  <c r="FD16" i="4"/>
  <c r="FG12" i="4"/>
  <c r="FE12" i="4"/>
  <c r="FD13" i="4"/>
  <c r="FE13" i="4"/>
  <c r="L95" i="4" l="1"/>
  <c r="L96" i="4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FF11" i="4" s="1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A15" i="21" l="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AH157" i="4" s="1"/>
  <c r="AI61" i="4" s="1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A16" i="21" l="1"/>
  <c r="A13" i="21"/>
  <c r="C15" i="21"/>
  <c r="H15" i="21"/>
  <c r="B15" i="21"/>
  <c r="K15" i="21"/>
  <c r="F15" i="2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3" i="21" l="1"/>
  <c r="K13" i="21"/>
  <c r="F13" i="21"/>
  <c r="H13" i="21"/>
  <c r="B13" i="21"/>
  <c r="C16" i="21"/>
  <c r="B16" i="21"/>
  <c r="H16" i="21"/>
  <c r="F16" i="21"/>
  <c r="K16" i="21"/>
  <c r="FG7" i="4"/>
  <c r="DP41" i="4"/>
  <c r="FI7" i="4"/>
  <c r="FF7" i="4"/>
  <c r="FL7" i="4" s="1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EQ43" i="4" l="1"/>
  <c r="FB43" i="4" s="1"/>
  <c r="FE43" i="4" s="1"/>
  <c r="EQ44" i="4"/>
  <c r="FB44" i="4" s="1"/>
  <c r="FI44" i="4" s="1"/>
  <c r="FM44" i="4" s="1"/>
  <c r="EN43" i="4"/>
  <c r="FM7" i="4"/>
  <c r="DP40" i="4"/>
  <c r="AJ105" i="4"/>
  <c r="AI157" i="4" s="1"/>
  <c r="AJ61" i="4" s="1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ER44" i="4" l="1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ES40" i="4" l="1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L40" i="4" s="1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14" i="21"/>
  <c r="C14" i="21" s="1"/>
  <c r="FM40" i="4" l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AM158" i="4" s="1"/>
  <c r="AN62" i="4" s="1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F14" i="21" l="1"/>
  <c r="H14" i="21"/>
  <c r="K14" i="21"/>
  <c r="B14" i="21"/>
  <c r="FV40" i="4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3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0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X50" i="4" s="1"/>
  <c r="FZ60" i="4" s="1"/>
  <c r="N60" i="4" s="1"/>
  <c r="O144" i="4" s="1"/>
  <c r="FW40" i="4"/>
  <c r="FW52" i="4"/>
  <c r="FW42" i="4"/>
  <c r="FW45" i="4"/>
  <c r="FW43" i="4"/>
  <c r="FW46" i="4"/>
  <c r="FW54" i="4"/>
  <c r="FP48" i="4"/>
  <c r="FW44" i="4"/>
  <c r="FW48" i="4"/>
  <c r="FW51" i="4"/>
  <c r="FW55" i="4"/>
  <c r="FX55" i="4" s="1"/>
  <c r="FZ70" i="4" s="1"/>
  <c r="N70" i="4" s="1"/>
  <c r="O154" i="4" s="1"/>
  <c r="FW47" i="4"/>
  <c r="FX47" i="4" s="1"/>
  <c r="FZ54" i="4" s="1"/>
  <c r="N54" i="4" s="1"/>
  <c r="GG47" i="4" s="1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12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V11" i="4"/>
  <c r="AN157" i="4"/>
  <c r="AO61" i="4" s="1"/>
  <c r="FX44" i="4" l="1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H9" i="21"/>
  <c r="FX51" i="4"/>
  <c r="FZ62" i="4" s="1"/>
  <c r="N62" i="4" s="1"/>
  <c r="GG51" i="4" s="1"/>
  <c r="FR19" i="4"/>
  <c r="AO19" i="4" s="1"/>
  <c r="AO101" i="4" s="1"/>
  <c r="FR9" i="4"/>
  <c r="AO9" i="4" s="1"/>
  <c r="AO91" i="4" s="1"/>
  <c r="FR54" i="4"/>
  <c r="AO54" i="4" s="1"/>
  <c r="AO119" i="4" s="1"/>
  <c r="FR42" i="4"/>
  <c r="FX13" i="4"/>
  <c r="FZ19" i="4" s="1"/>
  <c r="N19" i="4" s="1"/>
  <c r="CH87" i="4" s="1"/>
  <c r="FX10" i="4"/>
  <c r="FZ13" i="4" s="1"/>
  <c r="N13" i="4" s="1"/>
  <c r="CH84" i="4" s="1"/>
  <c r="FR10" i="4"/>
  <c r="AO10" i="4" s="1"/>
  <c r="AO92" i="4" s="1"/>
  <c r="FX46" i="4"/>
  <c r="FZ52" i="4" s="1"/>
  <c r="N52" i="4" s="1"/>
  <c r="O136" i="4" s="1"/>
  <c r="FX53" i="4"/>
  <c r="FZ66" i="4" s="1"/>
  <c r="N66" i="4" s="1"/>
  <c r="O150" i="4" s="1"/>
  <c r="FX40" i="4"/>
  <c r="FZ40" i="4" s="1"/>
  <c r="N40" i="4" s="1"/>
  <c r="O124" i="4" s="1"/>
  <c r="FX49" i="4"/>
  <c r="FZ58" i="4" s="1"/>
  <c r="N58" i="4" s="1"/>
  <c r="O141" i="4" s="1"/>
  <c r="CH112" i="4"/>
  <c r="FX14" i="4"/>
  <c r="FZ21" i="4" s="1"/>
  <c r="N21" i="4" s="1"/>
  <c r="FR40" i="4"/>
  <c r="FR22" i="4"/>
  <c r="AO22" i="4" s="1"/>
  <c r="AO104" i="4" s="1"/>
  <c r="FR15" i="4"/>
  <c r="AO15" i="4" s="1"/>
  <c r="AO97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X12" i="4"/>
  <c r="FZ17" i="4" s="1"/>
  <c r="N17" i="4" s="1"/>
  <c r="O101" i="4" s="1"/>
  <c r="FR21" i="4"/>
  <c r="AO21" i="4" s="1"/>
  <c r="AO103" i="4" s="1"/>
  <c r="FR48" i="4"/>
  <c r="AO48" i="4" s="1"/>
  <c r="AO113" i="4" s="1"/>
  <c r="FR14" i="4"/>
  <c r="AO14" i="4" s="1"/>
  <c r="AO96" i="4" s="1"/>
  <c r="O138" i="4"/>
  <c r="FR41" i="4"/>
  <c r="AO41" i="4" s="1"/>
  <c r="AO106" i="4" s="1"/>
  <c r="AN160" i="4" s="1"/>
  <c r="AO64" i="4" s="1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43" i="4"/>
  <c r="FZ46" i="4" s="1"/>
  <c r="N46" i="4" s="1"/>
  <c r="CH104" i="4"/>
  <c r="FX11" i="4"/>
  <c r="FZ15" i="4" s="1"/>
  <c r="N15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B9" i="21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O137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9" i="4"/>
  <c r="HI44" i="4"/>
  <c r="HI10" i="4"/>
  <c r="FV8" i="4" l="1"/>
  <c r="FX8" i="4" s="1"/>
  <c r="FZ9" i="4" s="1"/>
  <c r="N9" i="4" s="1"/>
  <c r="AO8" i="4"/>
  <c r="AO90" i="4" s="1"/>
  <c r="AN158" i="4" s="1"/>
  <c r="AO62" i="4" s="1"/>
  <c r="FV9" i="4"/>
  <c r="FX9" i="4" s="1"/>
  <c r="FZ11" i="4" s="1"/>
  <c r="N11" i="4" s="1"/>
  <c r="O96" i="4" s="1"/>
  <c r="AO40" i="4"/>
  <c r="AO105" i="4" s="1"/>
  <c r="AN159" i="4" s="1"/>
  <c r="AO63" i="4" s="1"/>
  <c r="FV41" i="4"/>
  <c r="FX41" i="4" s="1"/>
  <c r="FZ42" i="4" s="1"/>
  <c r="N42" i="4" s="1"/>
  <c r="O125" i="4" s="1"/>
  <c r="AO7" i="4"/>
  <c r="AO89" i="4" s="1"/>
  <c r="FV7" i="4"/>
  <c r="FX7" i="4" s="1"/>
  <c r="FZ7" i="4" s="1"/>
  <c r="N7" i="4" s="1"/>
  <c r="GG7" i="4" s="1"/>
  <c r="HI7" i="4" s="1"/>
  <c r="FV42" i="4"/>
  <c r="FX42" i="4" s="1"/>
  <c r="FZ44" i="4" s="1"/>
  <c r="N44" i="4" s="1"/>
  <c r="AO42" i="4"/>
  <c r="AO107" i="4" s="1"/>
  <c r="O118" i="4"/>
  <c r="CH97" i="4"/>
  <c r="O117" i="4"/>
  <c r="GG44" i="4"/>
  <c r="HI42" i="4" s="1"/>
  <c r="O132" i="4"/>
  <c r="O131" i="4"/>
  <c r="O121" i="4"/>
  <c r="CH94" i="4"/>
  <c r="O122" i="4"/>
  <c r="CH96" i="4"/>
  <c r="F9" i="21"/>
  <c r="A10" i="21"/>
  <c r="C10" i="21" s="1"/>
  <c r="K9" i="21"/>
  <c r="C9" i="21"/>
  <c r="O145" i="4"/>
  <c r="O146" i="4"/>
  <c r="CH108" i="4"/>
  <c r="GG40" i="4"/>
  <c r="GG10" i="4"/>
  <c r="O104" i="4"/>
  <c r="O113" i="4"/>
  <c r="A11" i="21"/>
  <c r="C11" i="21" s="1"/>
  <c r="GG13" i="4"/>
  <c r="O149" i="4"/>
  <c r="O103" i="4"/>
  <c r="CH98" i="4"/>
  <c r="O123" i="4"/>
  <c r="O98" i="4"/>
  <c r="O97" i="4"/>
  <c r="GG41" i="4"/>
  <c r="O126" i="4"/>
  <c r="O92" i="4"/>
  <c r="GG49" i="4"/>
  <c r="GG53" i="4"/>
  <c r="GG46" i="4"/>
  <c r="CH103" i="4"/>
  <c r="CH110" i="4"/>
  <c r="O135" i="4"/>
  <c r="O91" i="4"/>
  <c r="CH81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O95" i="4"/>
  <c r="GG9" i="4"/>
  <c r="HI8" i="4" s="1"/>
  <c r="CH92" i="4"/>
  <c r="O114" i="4"/>
  <c r="O102" i="4"/>
  <c r="GG12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GG11" i="4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GG42" i="4"/>
  <c r="HI41" i="4" s="1"/>
  <c r="CH99" i="4"/>
  <c r="O127" i="4"/>
  <c r="O128" i="4"/>
  <c r="O129" i="4"/>
  <c r="CH100" i="4"/>
  <c r="O130" i="4"/>
  <c r="GG43" i="4"/>
  <c r="CH82" i="4"/>
  <c r="GG8" i="4"/>
  <c r="O94" i="4"/>
  <c r="O9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HI40" i="4" l="1"/>
  <c r="H10" i="21"/>
  <c r="H11" i="21"/>
  <c r="B11" i="21"/>
  <c r="K11" i="21"/>
  <c r="F11" i="21"/>
  <c r="K10" i="21"/>
  <c r="B10" i="21"/>
  <c r="F10" i="21"/>
  <c r="O89" i="4"/>
  <c r="Q5" i="4" s="1"/>
  <c r="AR12" i="4" s="1"/>
  <c r="AR94" i="4" s="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S7" i="4" s="1"/>
  <c r="HQ7" i="4"/>
  <c r="HQ40" i="4"/>
  <c r="HO40" i="4"/>
  <c r="HS40" i="4" s="1"/>
  <c r="HO43" i="4"/>
  <c r="HQ43" i="4"/>
  <c r="HQ11" i="4"/>
  <c r="HO11" i="4"/>
  <c r="HO9" i="4"/>
  <c r="HQ9" i="4"/>
  <c r="HQ54" i="4"/>
  <c r="HR54" i="4" s="1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AR9" i="4" l="1"/>
  <c r="AR91" i="4" s="1"/>
  <c r="AR40" i="4"/>
  <c r="AR105" i="4" s="1"/>
  <c r="AR158" i="4" s="1"/>
  <c r="AS62" i="4" s="1"/>
  <c r="HR12" i="4"/>
  <c r="A12" i="21"/>
  <c r="HR49" i="4"/>
  <c r="HS50" i="4" s="1"/>
  <c r="HR10" i="4"/>
  <c r="HS11" i="4" s="1"/>
  <c r="AR11" i="4"/>
  <c r="AR93" i="4" s="1"/>
  <c r="HS55" i="4"/>
  <c r="HT55" i="4" s="1"/>
  <c r="HR19" i="4"/>
  <c r="HS20" i="4" s="1"/>
  <c r="HY20" i="4" s="1"/>
  <c r="AR16" i="4"/>
  <c r="AR98" i="4" s="1"/>
  <c r="AR42" i="4"/>
  <c r="AR107" i="4" s="1"/>
  <c r="AR43" i="4"/>
  <c r="AR108" i="4" s="1"/>
  <c r="AR6" i="4"/>
  <c r="AR88" i="4" s="1"/>
  <c r="AR13" i="4"/>
  <c r="AR95" i="4" s="1"/>
  <c r="AR15" i="4"/>
  <c r="AR97" i="4" s="1"/>
  <c r="AR14" i="4"/>
  <c r="AR96" i="4" s="1"/>
  <c r="AR48" i="4"/>
  <c r="AR113" i="4" s="1"/>
  <c r="AR41" i="4"/>
  <c r="AR106" i="4" s="1"/>
  <c r="AR44" i="4"/>
  <c r="AR109" i="4" s="1"/>
  <c r="AR51" i="4"/>
  <c r="AR116" i="4" s="1"/>
  <c r="AR47" i="4"/>
  <c r="AR112" i="4" s="1"/>
  <c r="AR39" i="4"/>
  <c r="AW39" i="4" s="1"/>
  <c r="AR10" i="4"/>
  <c r="AR92" i="4" s="1"/>
  <c r="HR20" i="4"/>
  <c r="HS21" i="4" s="1"/>
  <c r="HR41" i="4"/>
  <c r="HS42" i="4" s="1"/>
  <c r="HR43" i="4"/>
  <c r="HS44" i="4" s="1"/>
  <c r="HR7" i="4"/>
  <c r="HS8" i="4" s="1"/>
  <c r="IM8" i="4" s="1"/>
  <c r="HR17" i="4"/>
  <c r="HS18" i="4" s="1"/>
  <c r="HR45" i="4"/>
  <c r="HS46" i="4" s="1"/>
  <c r="AR45" i="4"/>
  <c r="AR110" i="4" s="1"/>
  <c r="AR46" i="4"/>
  <c r="AR111" i="4" s="1"/>
  <c r="AR17" i="4"/>
  <c r="AR99" i="4" s="1"/>
  <c r="AR7" i="4"/>
  <c r="AR89" i="4" s="1"/>
  <c r="AR157" i="4" s="1"/>
  <c r="AS61" i="4" s="1"/>
  <c r="AR50" i="4"/>
  <c r="AR115" i="4" s="1"/>
  <c r="AR49" i="4"/>
  <c r="AR114" i="4" s="1"/>
  <c r="AR18" i="4"/>
  <c r="AR100" i="4" s="1"/>
  <c r="AS6" i="4"/>
  <c r="AS88" i="4" s="1"/>
  <c r="AS39" i="4"/>
  <c r="AX39" i="4" s="1"/>
  <c r="HR11" i="4"/>
  <c r="HS12" i="4" s="1"/>
  <c r="HR22" i="4"/>
  <c r="HS23" i="4"/>
  <c r="HT23" i="4" s="1"/>
  <c r="HR48" i="4"/>
  <c r="HS49" i="4" s="1"/>
  <c r="HR15" i="4"/>
  <c r="HS16" i="4" s="1"/>
  <c r="HR40" i="4"/>
  <c r="HS41" i="4" s="1"/>
  <c r="IT41" i="4" s="1"/>
  <c r="IZ41" i="4" s="1"/>
  <c r="JB41" i="4" s="1"/>
  <c r="HR50" i="4"/>
  <c r="HS51" i="4" s="1"/>
  <c r="HR9" i="4"/>
  <c r="HS10" i="4" s="1"/>
  <c r="HS17" i="4"/>
  <c r="HR47" i="4"/>
  <c r="HS48" i="4" s="1"/>
  <c r="HR18" i="4"/>
  <c r="HS19" i="4" s="1"/>
  <c r="HR8" i="4"/>
  <c r="HS9" i="4" s="1"/>
  <c r="IJ9" i="4" s="1"/>
  <c r="HR53" i="4"/>
  <c r="HS54" i="4" s="1"/>
  <c r="HR46" i="4"/>
  <c r="HS47" i="4" s="1"/>
  <c r="HR52" i="4"/>
  <c r="HS53" i="4" s="1"/>
  <c r="HR21" i="4"/>
  <c r="HS22" i="4" s="1"/>
  <c r="HR14" i="4"/>
  <c r="HS15" i="4" s="1"/>
  <c r="HR51" i="4"/>
  <c r="HS52" i="4" s="1"/>
  <c r="HR44" i="4"/>
  <c r="HS45" i="4" s="1"/>
  <c r="HS13" i="4"/>
  <c r="HR42" i="4"/>
  <c r="HS43" i="4" s="1"/>
  <c r="HR13" i="4"/>
  <c r="HS14" i="4" s="1"/>
  <c r="IF40" i="4"/>
  <c r="IG40" i="4" s="1"/>
  <c r="HX40" i="4"/>
  <c r="IA40" i="4"/>
  <c r="HZ40" i="4"/>
  <c r="IJ40" i="4"/>
  <c r="IM40" i="4"/>
  <c r="IC40" i="4"/>
  <c r="HT40" i="4"/>
  <c r="HY40" i="4"/>
  <c r="IT40" i="4"/>
  <c r="IZ40" i="4" s="1"/>
  <c r="JB40" i="4" s="1"/>
  <c r="AR8" i="4"/>
  <c r="AR90" i="4" s="1"/>
  <c r="AS159" i="4"/>
  <c r="AT63" i="4" s="1"/>
  <c r="HY7" i="4"/>
  <c r="HT7" i="4"/>
  <c r="IT7" i="4"/>
  <c r="IA7" i="4"/>
  <c r="HZ7" i="4"/>
  <c r="IJ7" i="4"/>
  <c r="IF7" i="4"/>
  <c r="IG7" i="4" s="1"/>
  <c r="HX7" i="4"/>
  <c r="IM7" i="4"/>
  <c r="IC7" i="4"/>
  <c r="C12" i="21" l="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IW4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IV40" i="4"/>
  <c r="IU40" i="4"/>
  <c r="IX40" i="4"/>
  <c r="AT40" i="4"/>
  <c r="AT105" i="4" s="1"/>
  <c r="AS158" i="4" s="1"/>
  <c r="AT62" i="4" s="1"/>
  <c r="IU7" i="4"/>
  <c r="IV7" i="4"/>
  <c r="IW7" i="4"/>
  <c r="IX7" i="4"/>
  <c r="IZ7" i="4"/>
  <c r="JB7" i="4" s="1"/>
  <c r="IU8" i="4" l="1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N10" i="4"/>
  <c r="IP13" i="4" s="1"/>
  <c r="Q13" i="4" s="1"/>
  <c r="GH10" i="4" s="1"/>
  <c r="IH16" i="4"/>
  <c r="AU16" i="4" s="1"/>
  <c r="IH12" i="4"/>
  <c r="AU12" i="4" s="1"/>
  <c r="HU40" i="4"/>
  <c r="IL40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40" i="4"/>
  <c r="IP40" i="4" s="1"/>
  <c r="Q40" i="4" s="1"/>
  <c r="CK9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N11" i="4"/>
  <c r="IP15" i="4" s="1"/>
  <c r="Q15" i="4" s="1"/>
  <c r="AT9" i="4"/>
  <c r="AT91" i="4" s="1"/>
  <c r="AT42" i="4"/>
  <c r="AT107" i="4" s="1"/>
  <c r="AT8" i="4"/>
  <c r="AT90" i="4" s="1"/>
  <c r="AT10" i="4"/>
  <c r="AT92" i="4" s="1"/>
  <c r="AT43" i="4"/>
  <c r="AT108" i="4" s="1"/>
  <c r="AT7" i="4"/>
  <c r="AT89" i="4" s="1"/>
  <c r="AS157" i="4" s="1"/>
  <c r="AT61" i="4" s="1"/>
  <c r="AT41" i="4"/>
  <c r="AT106" i="4" s="1"/>
  <c r="IE43" i="4"/>
  <c r="IH43" i="4" s="1"/>
  <c r="AU43" i="4" s="1"/>
  <c r="IE42" i="4"/>
  <c r="IH42" i="4" s="1"/>
  <c r="AU42" i="4" s="1"/>
  <c r="IE10" i="4"/>
  <c r="IH10" i="4" s="1"/>
  <c r="AU10" i="4" s="1"/>
  <c r="IN41" i="4" l="1"/>
  <c r="IP42" i="4" s="1"/>
  <c r="Q42" i="4" s="1"/>
  <c r="R126" i="4" s="1"/>
  <c r="R109" i="4"/>
  <c r="R119" i="4"/>
  <c r="GH16" i="4"/>
  <c r="HU44" i="4"/>
  <c r="IL44" i="4" s="1"/>
  <c r="AT44" i="4" s="1"/>
  <c r="AT109" i="4" s="1"/>
  <c r="R97" i="4"/>
  <c r="HU10" i="4"/>
  <c r="IL10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IN42" i="4" s="1"/>
  <c r="IP44" i="4" s="1"/>
  <c r="Q44" i="4" s="1"/>
  <c r="HU46" i="4"/>
  <c r="IL46" i="4" s="1"/>
  <c r="AT46" i="4" s="1"/>
  <c r="AT111" i="4" s="1"/>
  <c r="R98" i="4"/>
  <c r="HU11" i="4"/>
  <c r="IL11" i="4" s="1"/>
  <c r="AT11" i="4" s="1"/>
  <c r="AT93" i="4" s="1"/>
  <c r="IL18" i="4"/>
  <c r="AT18" i="4" s="1"/>
  <c r="AT100" i="4" s="1"/>
  <c r="HU9" i="4"/>
  <c r="IL9" i="4" s="1"/>
  <c r="HU13" i="4"/>
  <c r="IL13" i="4" s="1"/>
  <c r="AT13" i="4" s="1"/>
  <c r="AT95" i="4" s="1"/>
  <c r="HU20" i="4"/>
  <c r="HU14" i="4"/>
  <c r="IL14" i="4" s="1"/>
  <c r="AT14" i="4" s="1"/>
  <c r="AT96" i="4" s="1"/>
  <c r="CK84" i="4"/>
  <c r="R111" i="4"/>
  <c r="HU19" i="4"/>
  <c r="IM19" i="4" s="1"/>
  <c r="HU22" i="4"/>
  <c r="HU8" i="4"/>
  <c r="IL8" i="4" s="1"/>
  <c r="HU7" i="4"/>
  <c r="IL7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HU55" i="4"/>
  <c r="HU43" i="4"/>
  <c r="IL43" i="4" s="1"/>
  <c r="HU42" i="4"/>
  <c r="JC12" i="4"/>
  <c r="JD12" i="4" s="1"/>
  <c r="JC10" i="4"/>
  <c r="R110" i="4"/>
  <c r="JC8" i="4"/>
  <c r="JD8" i="4" s="1"/>
  <c r="JC19" i="4"/>
  <c r="JD19" i="4" s="1"/>
  <c r="JC22" i="4"/>
  <c r="JC13" i="4"/>
  <c r="JD13" i="4" s="1"/>
  <c r="JC17" i="4"/>
  <c r="JC15" i="4"/>
  <c r="JD15" i="4" s="1"/>
  <c r="R116" i="4"/>
  <c r="R118" i="4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JC20" i="4"/>
  <c r="JD20" i="4" s="1"/>
  <c r="JC11" i="4"/>
  <c r="JD11" i="4" s="1"/>
  <c r="JC7" i="4"/>
  <c r="JD7" i="4" s="1"/>
  <c r="GH19" i="4"/>
  <c r="IE9" i="4"/>
  <c r="IH9" i="4" s="1"/>
  <c r="AU9" i="4" s="1"/>
  <c r="IE8" i="4"/>
  <c r="IH8" i="4" s="1"/>
  <c r="AU8" i="4" s="1"/>
  <c r="IN8" i="4"/>
  <c r="IP9" i="4" s="1"/>
  <c r="Q9" i="4" s="1"/>
  <c r="GH8" i="4" s="1"/>
  <c r="IN9" i="4"/>
  <c r="IP11" i="4" s="1"/>
  <c r="Q11" i="4" s="1"/>
  <c r="IE7" i="4"/>
  <c r="IH7" i="4" s="1"/>
  <c r="AU7" i="4" s="1"/>
  <c r="R123" i="4"/>
  <c r="R124" i="4"/>
  <c r="GH40" i="4"/>
  <c r="GH13" i="4"/>
  <c r="CK87" i="4"/>
  <c r="R103" i="4"/>
  <c r="IN12" i="4"/>
  <c r="IP17" i="4" s="1"/>
  <c r="Q17" i="4" s="1"/>
  <c r="GH12" i="4" s="1"/>
  <c r="CK85" i="4"/>
  <c r="R99" i="4"/>
  <c r="R100" i="4"/>
  <c r="GH11" i="4"/>
  <c r="R127" i="4" l="1"/>
  <c r="CK99" i="4"/>
  <c r="R128" i="4"/>
  <c r="GH42" i="4"/>
  <c r="IN7" i="4"/>
  <c r="IP7" i="4" s="1"/>
  <c r="Q7" i="4" s="1"/>
  <c r="R92" i="4" s="1"/>
  <c r="IL42" i="4"/>
  <c r="IE40" i="4"/>
  <c r="IH40" i="4" s="1"/>
  <c r="AU40" i="4" s="1"/>
  <c r="IE41" i="4"/>
  <c r="IH41" i="4" s="1"/>
  <c r="AU41" i="4" s="1"/>
  <c r="IO50" i="4"/>
  <c r="GH41" i="4"/>
  <c r="CK98" i="4"/>
  <c r="IO47" i="4"/>
  <c r="IO54" i="4"/>
  <c r="R125" i="4"/>
  <c r="IO5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IL49" i="4"/>
  <c r="AT49" i="4" s="1"/>
  <c r="AT114" i="4" s="1"/>
  <c r="JF10" i="4"/>
  <c r="JF14" i="4"/>
  <c r="JD10" i="4"/>
  <c r="JF15" i="4"/>
  <c r="IM50" i="4"/>
  <c r="IL50" i="4"/>
  <c r="AT50" i="4" s="1"/>
  <c r="AT115" i="4" s="1"/>
  <c r="JD22" i="4"/>
  <c r="IO45" i="4"/>
  <c r="JF11" i="4"/>
  <c r="IO49" i="4"/>
  <c r="IO55" i="4"/>
  <c r="JC23" i="4"/>
  <c r="JF22" i="4" s="1"/>
  <c r="JF19" i="4"/>
  <c r="IO52" i="4"/>
  <c r="JF16" i="4"/>
  <c r="JF12" i="4"/>
  <c r="JF20" i="4"/>
  <c r="JD17" i="4"/>
  <c r="JD53" i="4"/>
  <c r="JF53" i="4"/>
  <c r="JH53" i="4"/>
  <c r="JF41" i="4"/>
  <c r="JD41" i="4"/>
  <c r="JF40" i="4"/>
  <c r="JH41" i="4" s="1"/>
  <c r="JO41" i="4" s="1"/>
  <c r="JD40" i="4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G52" i="4" s="1"/>
  <c r="JH47" i="4"/>
  <c r="JF47" i="4"/>
  <c r="JD47" i="4"/>
  <c r="JF9" i="4"/>
  <c r="JF17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JF18" i="4"/>
  <c r="JH42" i="4"/>
  <c r="KC42" i="4" s="1"/>
  <c r="JF13" i="4"/>
  <c r="JF8" i="4"/>
  <c r="CK83" i="4"/>
  <c r="R96" i="4"/>
  <c r="GH9" i="4"/>
  <c r="IY8" i="4" s="1"/>
  <c r="R95" i="4"/>
  <c r="R93" i="4"/>
  <c r="R94" i="4"/>
  <c r="IY41" i="4"/>
  <c r="IY40" i="4"/>
  <c r="JH40" i="4"/>
  <c r="JI40" i="4" s="1"/>
  <c r="JJ40" i="4"/>
  <c r="R102" i="4"/>
  <c r="CK86" i="4"/>
  <c r="R101" i="4"/>
  <c r="IY9" i="4"/>
  <c r="IY10" i="4"/>
  <c r="IY11" i="4"/>
  <c r="IY42" i="4"/>
  <c r="IY43" i="4"/>
  <c r="KD50" i="4"/>
  <c r="KF60" i="4" s="1"/>
  <c r="JZ43" i="4"/>
  <c r="JM43" i="4"/>
  <c r="JI43" i="4"/>
  <c r="JP43" i="4"/>
  <c r="JV43" i="4"/>
  <c r="KJ43" i="4"/>
  <c r="KN43" i="4" s="1"/>
  <c r="KC43" i="4"/>
  <c r="JQ43" i="4"/>
  <c r="JN43" i="4"/>
  <c r="JS43" i="4"/>
  <c r="R91" i="4" l="1"/>
  <c r="IN46" i="4"/>
  <c r="IP52" i="4" s="1"/>
  <c r="Q52" i="4" s="1"/>
  <c r="IN48" i="4"/>
  <c r="IP56" i="4" s="1"/>
  <c r="Q56" i="4" s="1"/>
  <c r="IN54" i="4"/>
  <c r="IP68" i="4" s="1"/>
  <c r="Q68" i="4" s="1"/>
  <c r="IN53" i="4"/>
  <c r="IP66" i="4" s="1"/>
  <c r="Q66" i="4" s="1"/>
  <c r="IN43" i="4"/>
  <c r="IP46" i="4" s="1"/>
  <c r="Q46" i="4" s="1"/>
  <c r="IN49" i="4"/>
  <c r="IP58" i="4" s="1"/>
  <c r="Q58" i="4" s="1"/>
  <c r="IN44" i="4"/>
  <c r="IP48" i="4" s="1"/>
  <c r="Q48" i="4" s="1"/>
  <c r="IN47" i="4"/>
  <c r="IP54" i="4" s="1"/>
  <c r="Q54" i="4" s="1"/>
  <c r="IN55" i="4"/>
  <c r="IP70" i="4" s="1"/>
  <c r="Q70" i="4" s="1"/>
  <c r="IN52" i="4"/>
  <c r="IP64" i="4" s="1"/>
  <c r="Q64" i="4" s="1"/>
  <c r="IN45" i="4"/>
  <c r="IP50" i="4" s="1"/>
  <c r="Q50" i="4" s="1"/>
  <c r="IN50" i="4"/>
  <c r="IP60" i="4" s="1"/>
  <c r="Q60" i="4" s="1"/>
  <c r="IN51" i="4"/>
  <c r="IP62" i="4" s="1"/>
  <c r="Q62" i="4" s="1"/>
  <c r="CK81" i="4"/>
  <c r="IY7" i="4"/>
  <c r="GH7" i="4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G49" i="4"/>
  <c r="JG47" i="4"/>
  <c r="JG41" i="4"/>
  <c r="JI13" i="4"/>
  <c r="JO15" i="4"/>
  <c r="JQ40" i="4"/>
  <c r="JS40" i="4"/>
  <c r="KC40" i="4"/>
  <c r="JM40" i="4"/>
  <c r="KJ40" i="4"/>
  <c r="KK40" i="4" s="1"/>
  <c r="JV40" i="4"/>
  <c r="JW40" i="4" s="1"/>
  <c r="JN40" i="4"/>
  <c r="KB40" i="4"/>
  <c r="JP40" i="4"/>
  <c r="JO40" i="4"/>
  <c r="JZ40" i="4"/>
  <c r="JH7" i="4"/>
  <c r="JN7" i="4" s="1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JT42" i="4"/>
  <c r="KC17" i="4"/>
  <c r="JO11" i="4" l="1"/>
  <c r="JT41" i="4"/>
  <c r="GH47" i="4"/>
  <c r="R137" i="4"/>
  <c r="R138" i="4"/>
  <c r="CK104" i="4"/>
  <c r="R132" i="4"/>
  <c r="R131" i="4"/>
  <c r="GH44" i="4"/>
  <c r="CK101" i="4"/>
  <c r="CK106" i="4"/>
  <c r="R142" i="4"/>
  <c r="GH49" i="4"/>
  <c r="R141" i="4"/>
  <c r="R146" i="4"/>
  <c r="GH51" i="4"/>
  <c r="CK108" i="4"/>
  <c r="R145" i="4"/>
  <c r="CK100" i="4"/>
  <c r="R129" i="4"/>
  <c r="GH43" i="4"/>
  <c r="R130" i="4"/>
  <c r="R144" i="4"/>
  <c r="CK107" i="4"/>
  <c r="GH50" i="4"/>
  <c r="R143" i="4"/>
  <c r="GH53" i="4"/>
  <c r="CK110" i="4"/>
  <c r="R150" i="4"/>
  <c r="R149" i="4"/>
  <c r="GH45" i="4"/>
  <c r="IY44" i="4" s="1"/>
  <c r="R133" i="4"/>
  <c r="CK102" i="4"/>
  <c r="R134" i="4"/>
  <c r="CK111" i="4"/>
  <c r="GH54" i="4"/>
  <c r="R152" i="4"/>
  <c r="R151" i="4"/>
  <c r="R147" i="4"/>
  <c r="GH52" i="4"/>
  <c r="CK109" i="4"/>
  <c r="R148" i="4"/>
  <c r="GH48" i="4"/>
  <c r="R140" i="4"/>
  <c r="CK105" i="4"/>
  <c r="R139" i="4"/>
  <c r="CK112" i="4"/>
  <c r="R154" i="4"/>
  <c r="GH55" i="4"/>
  <c r="R153" i="4"/>
  <c r="R135" i="4"/>
  <c r="R136" i="4"/>
  <c r="GH46" i="4"/>
  <c r="CK103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I38" i="4"/>
  <c r="JI39" i="4" s="1"/>
  <c r="JJ44" i="4" s="1"/>
  <c r="KB4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T9" i="4"/>
  <c r="JV7" i="4"/>
  <c r="JW7" i="4" s="1"/>
  <c r="JS8" i="4"/>
  <c r="JO8" i="4"/>
  <c r="KD43" i="4"/>
  <c r="KF46" i="4" s="1"/>
  <c r="KJ7" i="4"/>
  <c r="KN7" i="4" s="1"/>
  <c r="JP7" i="4"/>
  <c r="KQ40" i="4"/>
  <c r="KS40" i="4" s="1"/>
  <c r="KO40" i="4"/>
  <c r="KD47" i="4"/>
  <c r="KF54" i="4" s="1"/>
  <c r="JQ7" i="4"/>
  <c r="JZ8" i="4"/>
  <c r="JZ9" i="4"/>
  <c r="JZ7" i="4"/>
  <c r="JO7" i="4"/>
  <c r="KC7" i="4"/>
  <c r="KN40" i="4"/>
  <c r="KL40" i="4"/>
  <c r="JS7" i="4"/>
  <c r="JI7" i="4"/>
  <c r="KM40" i="4"/>
  <c r="JT40" i="4"/>
  <c r="JT10" i="4"/>
  <c r="KO21" i="4"/>
  <c r="KQ21" i="4"/>
  <c r="KP21" i="4"/>
  <c r="KK21" i="4"/>
  <c r="KL21" i="4"/>
  <c r="KS21" i="4"/>
  <c r="KN21" i="4"/>
  <c r="KM21" i="4"/>
  <c r="R89" i="4" l="1"/>
  <c r="T5" i="4" s="1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AZ16" i="4" s="1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AZ17" i="4" s="1"/>
  <c r="JX15" i="4"/>
  <c r="KQ12" i="4"/>
  <c r="KK10" i="4"/>
  <c r="JJ41" i="4"/>
  <c r="KB41" i="4" s="1"/>
  <c r="AY41" i="4" s="1"/>
  <c r="AY106" i="4" s="1"/>
  <c r="KM20" i="4"/>
  <c r="KN10" i="4"/>
  <c r="KK19" i="4"/>
  <c r="KQ9" i="4"/>
  <c r="KS9" i="4" s="1"/>
  <c r="KN15" i="4"/>
  <c r="KO20" i="4"/>
  <c r="JJ43" i="4"/>
  <c r="KB43" i="4" s="1"/>
  <c r="KD45" i="4" s="1"/>
  <c r="KF50" i="4" s="1"/>
  <c r="T50" i="4" s="1"/>
  <c r="CN102" i="4" s="1"/>
  <c r="KM12" i="4"/>
  <c r="KK15" i="4"/>
  <c r="KP15" i="4"/>
  <c r="KN22" i="4"/>
  <c r="KO22" i="4"/>
  <c r="KM22" i="4"/>
  <c r="KP22" i="4"/>
  <c r="JX12" i="4"/>
  <c r="AZ12" i="4" s="1"/>
  <c r="JX14" i="4"/>
  <c r="KL22" i="4"/>
  <c r="KP14" i="4"/>
  <c r="KL12" i="4"/>
  <c r="KS20" i="4"/>
  <c r="KQ20" i="4"/>
  <c r="KO12" i="4"/>
  <c r="KS12" i="4"/>
  <c r="KN20" i="4"/>
  <c r="JJ42" i="4"/>
  <c r="KB42" i="4" s="1"/>
  <c r="AY42" i="4" s="1"/>
  <c r="AY107" i="4" s="1"/>
  <c r="KN9" i="4"/>
  <c r="KN19" i="4"/>
  <c r="KK14" i="4"/>
  <c r="JI5" i="4"/>
  <c r="JI6" i="4" s="1"/>
  <c r="JJ46" i="4" s="1"/>
  <c r="KB46" i="4" s="1"/>
  <c r="AY46" i="4" s="1"/>
  <c r="AY111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KT47" i="4"/>
  <c r="KU47" i="4" s="1"/>
  <c r="JT7" i="4"/>
  <c r="KD42" i="4"/>
  <c r="KF44" i="4" s="1"/>
  <c r="KT54" i="4"/>
  <c r="KU54" i="4" s="1"/>
  <c r="LU20" i="4"/>
  <c r="LW33" i="4" s="1"/>
  <c r="KD18" i="4"/>
  <c r="KF29" i="4" s="1"/>
  <c r="T29" i="4" s="1"/>
  <c r="U113" i="4" s="1"/>
  <c r="KT55" i="4"/>
  <c r="KU55" i="4" s="1"/>
  <c r="KO8" i="4"/>
  <c r="KD14" i="4"/>
  <c r="KF21" i="4" s="1"/>
  <c r="T21" i="4" s="1"/>
  <c r="U105" i="4" s="1"/>
  <c r="LU17" i="4"/>
  <c r="LW27" i="4" s="1"/>
  <c r="KT41" i="4"/>
  <c r="KU41" i="4" s="1"/>
  <c r="KL8" i="4"/>
  <c r="KT45" i="4"/>
  <c r="KU45" i="4" s="1"/>
  <c r="KT50" i="4"/>
  <c r="KU50" i="4" s="1"/>
  <c r="KM8" i="4"/>
  <c r="KK8" i="4"/>
  <c r="LU16" i="4"/>
  <c r="LW25" i="4" s="1"/>
  <c r="KD22" i="4"/>
  <c r="KF37" i="4" s="1"/>
  <c r="T37" i="4" s="1"/>
  <c r="U121" i="4" s="1"/>
  <c r="KD16" i="4"/>
  <c r="KF25" i="4" s="1"/>
  <c r="T25" i="4" s="1"/>
  <c r="U110" i="4" s="1"/>
  <c r="LU21" i="4"/>
  <c r="LW35" i="4" s="1"/>
  <c r="KD20" i="4"/>
  <c r="KF33" i="4" s="1"/>
  <c r="T33" i="4" s="1"/>
  <c r="U117" i="4" s="1"/>
  <c r="JT8" i="4"/>
  <c r="KD19" i="4"/>
  <c r="KF31" i="4" s="1"/>
  <c r="T31" i="4" s="1"/>
  <c r="CN93" i="4" s="1"/>
  <c r="LU19" i="4"/>
  <c r="LW31" i="4" s="1"/>
  <c r="KD15" i="4"/>
  <c r="KF23" i="4" s="1"/>
  <c r="T23" i="4" s="1"/>
  <c r="U107" i="4" s="1"/>
  <c r="KD10" i="4"/>
  <c r="KF13" i="4" s="1"/>
  <c r="T13" i="4" s="1"/>
  <c r="GI10" i="4" s="1"/>
  <c r="KT48" i="4"/>
  <c r="KU48" i="4" s="1"/>
  <c r="KT43" i="4"/>
  <c r="KU43" i="4" s="1"/>
  <c r="KT53" i="4"/>
  <c r="KU53" i="4" s="1"/>
  <c r="KD17" i="4"/>
  <c r="KF27" i="4" s="1"/>
  <c r="T27" i="4" s="1"/>
  <c r="CN91" i="4" s="1"/>
  <c r="LU14" i="4"/>
  <c r="LW21" i="4" s="1"/>
  <c r="KD21" i="4"/>
  <c r="KF35" i="4" s="1"/>
  <c r="T35" i="4" s="1"/>
  <c r="U120" i="4" s="1"/>
  <c r="KT40" i="4"/>
  <c r="KU40" i="4" s="1"/>
  <c r="KT44" i="4"/>
  <c r="KU44" i="4" s="1"/>
  <c r="KT49" i="4"/>
  <c r="KU49" i="4" s="1"/>
  <c r="KT46" i="4"/>
  <c r="KU46" i="4" s="1"/>
  <c r="LU10" i="4"/>
  <c r="LW13" i="4" s="1"/>
  <c r="LU18" i="4"/>
  <c r="LW29" i="4" s="1"/>
  <c r="LU22" i="4"/>
  <c r="LW37" i="4" s="1"/>
  <c r="LU15" i="4"/>
  <c r="LW23" i="4" s="1"/>
  <c r="KT42" i="4"/>
  <c r="KT52" i="4"/>
  <c r="KU52" i="4" s="1"/>
  <c r="KT51" i="4"/>
  <c r="KL7" i="4"/>
  <c r="KO7" i="4"/>
  <c r="KM7" i="4"/>
  <c r="KQ7" i="4"/>
  <c r="KS7" i="4" s="1"/>
  <c r="KK7" i="4"/>
  <c r="JJ7" i="4"/>
  <c r="KB7" i="4" s="1"/>
  <c r="AY7" i="4" s="1"/>
  <c r="AY89" i="4" s="1"/>
  <c r="AY43" i="4"/>
  <c r="AY108" i="4" s="1"/>
  <c r="KD44" i="4"/>
  <c r="KF48" i="4" s="1"/>
  <c r="T48" i="4" s="1"/>
  <c r="GI44" i="4" s="1"/>
  <c r="KD40" i="4"/>
  <c r="KF40" i="4" s="1"/>
  <c r="T40" i="4" s="1"/>
  <c r="U124" i="4" s="1"/>
  <c r="KD41" i="4"/>
  <c r="KF42" i="4" s="1"/>
  <c r="T42" i="4" s="1"/>
  <c r="CN98" i="4" s="1"/>
  <c r="KD46" i="4"/>
  <c r="KF52" i="4" s="1"/>
  <c r="T52" i="4" s="1"/>
  <c r="CN103" i="4" s="1"/>
  <c r="AW41" i="4" l="1"/>
  <c r="AW106" i="4" s="1"/>
  <c r="AZ18" i="4"/>
  <c r="AZ50" i="4"/>
  <c r="AW14" i="4"/>
  <c r="AW96" i="4" s="1"/>
  <c r="AW17" i="4"/>
  <c r="AW99" i="4" s="1"/>
  <c r="AZ13" i="4"/>
  <c r="AW46" i="4"/>
  <c r="AW111" i="4" s="1"/>
  <c r="AW8" i="4"/>
  <c r="AW90" i="4" s="1"/>
  <c r="AW49" i="4"/>
  <c r="AW114" i="4" s="1"/>
  <c r="AW42" i="4"/>
  <c r="AW107" i="4" s="1"/>
  <c r="AW47" i="4"/>
  <c r="AW112" i="4" s="1"/>
  <c r="AZ51" i="4"/>
  <c r="AW48" i="4"/>
  <c r="AW113" i="4" s="1"/>
  <c r="BC39" i="4"/>
  <c r="T62" i="4"/>
  <c r="AW10" i="4"/>
  <c r="AW92" i="4" s="1"/>
  <c r="AZ14" i="4"/>
  <c r="AW50" i="4"/>
  <c r="AW115" i="4" s="1"/>
  <c r="AW6" i="4"/>
  <c r="AW88" i="4" s="1"/>
  <c r="T66" i="4"/>
  <c r="T54" i="4"/>
  <c r="AZ15" i="4"/>
  <c r="AW7" i="4"/>
  <c r="AW89" i="4" s="1"/>
  <c r="AW15" i="4"/>
  <c r="AW97" i="4" s="1"/>
  <c r="T46" i="4"/>
  <c r="T58" i="4"/>
  <c r="T60" i="4"/>
  <c r="T68" i="4"/>
  <c r="T64" i="4"/>
  <c r="T44" i="4"/>
  <c r="AW45" i="4"/>
  <c r="AW110" i="4" s="1"/>
  <c r="BB6" i="4"/>
  <c r="BB88" i="4" s="1"/>
  <c r="AW16" i="4"/>
  <c r="AW98" i="4" s="1"/>
  <c r="T56" i="4"/>
  <c r="BB39" i="4"/>
  <c r="AW12" i="4"/>
  <c r="AW94" i="4" s="1"/>
  <c r="AW11" i="4"/>
  <c r="AW93" i="4" s="1"/>
  <c r="AX6" i="4"/>
  <c r="AX88" i="4" s="1"/>
  <c r="AW51" i="4"/>
  <c r="AW116" i="4" s="1"/>
  <c r="T70" i="4"/>
  <c r="AW44" i="4"/>
  <c r="AW109" i="4" s="1"/>
  <c r="AW43" i="4"/>
  <c r="AW108" i="4" s="1"/>
  <c r="AW40" i="4"/>
  <c r="BC6" i="4"/>
  <c r="BC88" i="4" s="1"/>
  <c r="AW13" i="4"/>
  <c r="AW95" i="4" s="1"/>
  <c r="AW9" i="4"/>
  <c r="AW91" i="4" s="1"/>
  <c r="AY44" i="4"/>
  <c r="AY109" i="4" s="1"/>
  <c r="JJ49" i="4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KD8" i="4" s="1"/>
  <c r="KF9" i="4" s="1"/>
  <c r="T9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KW41" i="4"/>
  <c r="KT56" i="4"/>
  <c r="KT57" i="4" s="1"/>
  <c r="KW56" i="4" s="1"/>
  <c r="AX157" i="4"/>
  <c r="AY61" i="4" s="1"/>
  <c r="AW157" i="4"/>
  <c r="AX61" i="4" s="1"/>
  <c r="KU42" i="4"/>
  <c r="GI17" i="4"/>
  <c r="CN90" i="4"/>
  <c r="GI20" i="4"/>
  <c r="U109" i="4"/>
  <c r="KW46" i="4"/>
  <c r="CN88" i="4"/>
  <c r="GI16" i="4"/>
  <c r="GI19" i="4"/>
  <c r="KT7" i="4"/>
  <c r="KU7" i="4" s="1"/>
  <c r="KW45" i="4"/>
  <c r="GI14" i="4"/>
  <c r="KT15" i="4"/>
  <c r="KU15" i="4" s="1"/>
  <c r="U106" i="4"/>
  <c r="CN92" i="4"/>
  <c r="U98" i="4"/>
  <c r="CN84" i="4"/>
  <c r="U111" i="4"/>
  <c r="KT8" i="4"/>
  <c r="KU8" i="4" s="1"/>
  <c r="GI18" i="4"/>
  <c r="GI22" i="4"/>
  <c r="U114" i="4"/>
  <c r="U108" i="4"/>
  <c r="KW52" i="4"/>
  <c r="KW54" i="4"/>
  <c r="U122" i="4"/>
  <c r="KW50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KW42" i="4"/>
  <c r="CN89" i="4"/>
  <c r="KW43" i="4"/>
  <c r="CN96" i="4"/>
  <c r="U112" i="4"/>
  <c r="GI15" i="4"/>
  <c r="CN94" i="4"/>
  <c r="KW40" i="4"/>
  <c r="U118" i="4"/>
  <c r="KW53" i="4"/>
  <c r="KW44" i="4"/>
  <c r="U97" i="4"/>
  <c r="KW48" i="4"/>
  <c r="KW49" i="4"/>
  <c r="U116" i="4"/>
  <c r="KT10" i="4"/>
  <c r="KT12" i="4"/>
  <c r="KU51" i="4"/>
  <c r="KW51" i="4"/>
  <c r="KW47" i="4"/>
  <c r="CN95" i="4"/>
  <c r="U115" i="4"/>
  <c r="GI46" i="4"/>
  <c r="GI40" i="4"/>
  <c r="U123" i="4"/>
  <c r="U131" i="4"/>
  <c r="CN101" i="4"/>
  <c r="GI41" i="4"/>
  <c r="KP40" i="4" s="1"/>
  <c r="U135" i="4"/>
  <c r="U126" i="4"/>
  <c r="U132" i="4"/>
  <c r="CN97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JU7" i="4" l="1"/>
  <c r="JX7" i="4" s="1"/>
  <c r="AZ7" i="4" s="1"/>
  <c r="U154" i="4"/>
  <c r="CN112" i="4"/>
  <c r="U153" i="4"/>
  <c r="GI55" i="4"/>
  <c r="CN108" i="4"/>
  <c r="U146" i="4"/>
  <c r="GI51" i="4"/>
  <c r="U145" i="4"/>
  <c r="U127" i="4"/>
  <c r="U128" i="4"/>
  <c r="GI42" i="4"/>
  <c r="CN99" i="4"/>
  <c r="GI52" i="4"/>
  <c r="U148" i="4"/>
  <c r="CN109" i="4"/>
  <c r="U147" i="4"/>
  <c r="U138" i="4"/>
  <c r="CN104" i="4"/>
  <c r="U137" i="4"/>
  <c r="GI47" i="4"/>
  <c r="GI54" i="4"/>
  <c r="CN111" i="4"/>
  <c r="U151" i="4"/>
  <c r="U152" i="4"/>
  <c r="GI53" i="4"/>
  <c r="U150" i="4"/>
  <c r="CN110" i="4"/>
  <c r="U149" i="4"/>
  <c r="AY40" i="4"/>
  <c r="AY105" i="4" s="1"/>
  <c r="AX158" i="4" s="1"/>
  <c r="AY62" i="4" s="1"/>
  <c r="AW105" i="4"/>
  <c r="AW158" i="4" s="1"/>
  <c r="AX62" i="4" s="1"/>
  <c r="U143" i="4"/>
  <c r="U144" i="4"/>
  <c r="GI50" i="4"/>
  <c r="CN107" i="4"/>
  <c r="U139" i="4"/>
  <c r="GI48" i="4"/>
  <c r="CN105" i="4"/>
  <c r="U140" i="4"/>
  <c r="GI49" i="4"/>
  <c r="CN106" i="4"/>
  <c r="U142" i="4"/>
  <c r="U141" i="4"/>
  <c r="CN100" i="4"/>
  <c r="U130" i="4"/>
  <c r="GI43" i="4"/>
  <c r="U129" i="4"/>
  <c r="KX53" i="4"/>
  <c r="KY54" i="4" s="1"/>
  <c r="LT54" i="4" s="1"/>
  <c r="KW9" i="4"/>
  <c r="KW12" i="4"/>
  <c r="KX41" i="4"/>
  <c r="KY42" i="4" s="1"/>
  <c r="LD42" i="4" s="1"/>
  <c r="KB45" i="4"/>
  <c r="AY45" i="4" s="1"/>
  <c r="AY110" i="4" s="1"/>
  <c r="KT23" i="4"/>
  <c r="KT24" i="4" s="1"/>
  <c r="KW23" i="4" s="1"/>
  <c r="GI9" i="4"/>
  <c r="U96" i="4"/>
  <c r="U95" i="4"/>
  <c r="KX40" i="4"/>
  <c r="KY41" i="4" s="1"/>
  <c r="LG41" i="4" s="1"/>
  <c r="KX51" i="4"/>
  <c r="KY52" i="4" s="1"/>
  <c r="LE52" i="4" s="1"/>
  <c r="KW55" i="4"/>
  <c r="KX55" i="4" s="1"/>
  <c r="KW16" i="4"/>
  <c r="KX44" i="4"/>
  <c r="KY45" i="4" s="1"/>
  <c r="LE45" i="4" s="1"/>
  <c r="KX42" i="4"/>
  <c r="KY43" i="4" s="1"/>
  <c r="LT43" i="4" s="1"/>
  <c r="KX47" i="4"/>
  <c r="KY48" i="4" s="1"/>
  <c r="LG48" i="4" s="1"/>
  <c r="KW11" i="4"/>
  <c r="KW14" i="4"/>
  <c r="KU11" i="4"/>
  <c r="KU12" i="4"/>
  <c r="KW21" i="4"/>
  <c r="KX43" i="4"/>
  <c r="KY44" i="4" s="1"/>
  <c r="LT44" i="4" s="1"/>
  <c r="KX45" i="4"/>
  <c r="KY46" i="4" s="1"/>
  <c r="LQ46" i="4" s="1"/>
  <c r="KW15" i="4"/>
  <c r="KX46" i="4"/>
  <c r="KY47" i="4" s="1"/>
  <c r="LG47" i="4" s="1"/>
  <c r="KU16" i="4"/>
  <c r="KX49" i="4"/>
  <c r="KY50" i="4" s="1"/>
  <c r="LK50" i="4" s="1"/>
  <c r="KW7" i="4"/>
  <c r="KW8" i="4"/>
  <c r="KW20" i="4"/>
  <c r="KW13" i="4"/>
  <c r="KW17" i="4"/>
  <c r="KU13" i="4"/>
  <c r="KW19" i="4"/>
  <c r="KW18" i="4"/>
  <c r="KX52" i="4"/>
  <c r="KY53" i="4" s="1"/>
  <c r="LI53" i="4" s="1"/>
  <c r="KX48" i="4"/>
  <c r="KY49" i="4" s="1"/>
  <c r="LI49" i="4" s="1"/>
  <c r="KU10" i="4"/>
  <c r="KX50" i="4"/>
  <c r="KY51" i="4" s="1"/>
  <c r="LF51" i="4" s="1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LE42" i="4" l="1"/>
  <c r="KX8" i="4"/>
  <c r="KY9" i="4" s="1"/>
  <c r="LM9" i="4" s="1"/>
  <c r="LJ42" i="4"/>
  <c r="KZ42" i="4"/>
  <c r="LM42" i="4"/>
  <c r="KW22" i="4"/>
  <c r="KX22" i="4" s="1"/>
  <c r="LQ42" i="4"/>
  <c r="LT42" i="4"/>
  <c r="LI42" i="4"/>
  <c r="LG42" i="4"/>
  <c r="KX11" i="4"/>
  <c r="KY12" i="4" s="1"/>
  <c r="LQ12" i="4" s="1"/>
  <c r="LF42" i="4"/>
  <c r="LH42" i="4"/>
  <c r="KX12" i="4"/>
  <c r="KY13" i="4" s="1"/>
  <c r="LH54" i="4"/>
  <c r="LI54" i="4"/>
  <c r="LF54" i="4"/>
  <c r="LJ54" i="4"/>
  <c r="LM54" i="4"/>
  <c r="LD54" i="4"/>
  <c r="LK54" i="4"/>
  <c r="LG54" i="4"/>
  <c r="LE54" i="4"/>
  <c r="LL54" i="4"/>
  <c r="KZ54" i="4"/>
  <c r="LQ54" i="4"/>
  <c r="LM41" i="4"/>
  <c r="LJ41" i="4"/>
  <c r="LE41" i="4"/>
  <c r="LF41" i="4"/>
  <c r="KZ41" i="4"/>
  <c r="LI41" i="4"/>
  <c r="LQ41" i="4"/>
  <c r="LT41" i="4"/>
  <c r="LH41" i="4"/>
  <c r="LD41" i="4"/>
  <c r="KY40" i="4"/>
  <c r="KZ40" i="4" s="1"/>
  <c r="KX16" i="4"/>
  <c r="KY17" i="4" s="1"/>
  <c r="LH17" i="4" s="1"/>
  <c r="KX54" i="4"/>
  <c r="KY55" i="4" s="1"/>
  <c r="LG55" i="4" s="1"/>
  <c r="LG43" i="4"/>
  <c r="LJ43" i="4"/>
  <c r="LM46" i="4"/>
  <c r="LT45" i="4"/>
  <c r="LI45" i="4"/>
  <c r="LD43" i="4"/>
  <c r="LH46" i="4"/>
  <c r="LG46" i="4"/>
  <c r="LI44" i="4"/>
  <c r="KZ43" i="4"/>
  <c r="LQ50" i="4"/>
  <c r="LT46" i="4"/>
  <c r="LI46" i="4"/>
  <c r="LQ45" i="4"/>
  <c r="LD44" i="4"/>
  <c r="LF43" i="4"/>
  <c r="LQ43" i="4"/>
  <c r="LE50" i="4"/>
  <c r="LL46" i="4"/>
  <c r="LL45" i="4"/>
  <c r="LG45" i="4"/>
  <c r="LG44" i="4"/>
  <c r="LM44" i="4"/>
  <c r="LI43" i="4"/>
  <c r="LM45" i="4"/>
  <c r="LJ46" i="4"/>
  <c r="LF44" i="4"/>
  <c r="KX14" i="4"/>
  <c r="KY15" i="4" s="1"/>
  <c r="LJ45" i="4"/>
  <c r="LH43" i="4"/>
  <c r="LH45" i="4"/>
  <c r="LD45" i="4"/>
  <c r="LH50" i="4"/>
  <c r="LF50" i="4"/>
  <c r="LM43" i="4"/>
  <c r="LE43" i="4"/>
  <c r="LF45" i="4"/>
  <c r="KZ45" i="4"/>
  <c r="LT50" i="4"/>
  <c r="LE46" i="4"/>
  <c r="LF46" i="4"/>
  <c r="LJ44" i="4"/>
  <c r="KZ44" i="4"/>
  <c r="LJ47" i="4"/>
  <c r="LD47" i="4"/>
  <c r="LK51" i="4"/>
  <c r="LH47" i="4"/>
  <c r="LE51" i="4"/>
  <c r="LH48" i="4"/>
  <c r="LT51" i="4"/>
  <c r="LQ48" i="4"/>
  <c r="LD48" i="4"/>
  <c r="LI47" i="4"/>
  <c r="LM47" i="4"/>
  <c r="LM51" i="4"/>
  <c r="LM48" i="4"/>
  <c r="LT48" i="4"/>
  <c r="LI48" i="4"/>
  <c r="LL51" i="4"/>
  <c r="KZ48" i="4"/>
  <c r="LJ48" i="4"/>
  <c r="LE48" i="4"/>
  <c r="LF48" i="4"/>
  <c r="LQ47" i="4"/>
  <c r="LT47" i="4"/>
  <c r="KZ47" i="4"/>
  <c r="LH44" i="4"/>
  <c r="LQ44" i="4"/>
  <c r="LE44" i="4"/>
  <c r="KX13" i="4"/>
  <c r="KY14" i="4" s="1"/>
  <c r="LJ14" i="4" s="1"/>
  <c r="LK48" i="4"/>
  <c r="KX17" i="4"/>
  <c r="KY18" i="4" s="1"/>
  <c r="LI18" i="4" s="1"/>
  <c r="LL48" i="4"/>
  <c r="LE47" i="4"/>
  <c r="KX10" i="4"/>
  <c r="KY11" i="4" s="1"/>
  <c r="KZ11" i="4" s="1"/>
  <c r="LJ50" i="4"/>
  <c r="LK47" i="4"/>
  <c r="LF47" i="4"/>
  <c r="LL47" i="4"/>
  <c r="LD46" i="4"/>
  <c r="KZ46" i="4"/>
  <c r="LK46" i="4"/>
  <c r="LM49" i="4"/>
  <c r="KX20" i="4"/>
  <c r="KY21" i="4" s="1"/>
  <c r="LI21" i="4" s="1"/>
  <c r="KX15" i="4"/>
  <c r="KY16" i="4" s="1"/>
  <c r="LJ16" i="4" s="1"/>
  <c r="KP9" i="4"/>
  <c r="KP10" i="4"/>
  <c r="KZ50" i="4"/>
  <c r="LM50" i="4"/>
  <c r="LG50" i="4"/>
  <c r="LL52" i="4"/>
  <c r="LI50" i="4"/>
  <c r="LL50" i="4"/>
  <c r="LD50" i="4"/>
  <c r="LG52" i="4"/>
  <c r="KX18" i="4"/>
  <c r="KY19" i="4" s="1"/>
  <c r="LT19" i="4" s="1"/>
  <c r="KX7" i="4"/>
  <c r="LQ51" i="4"/>
  <c r="LD51" i="4"/>
  <c r="KX19" i="4"/>
  <c r="KY20" i="4" s="1"/>
  <c r="KZ20" i="4" s="1"/>
  <c r="LL53" i="4"/>
  <c r="LJ53" i="4"/>
  <c r="KZ53" i="4"/>
  <c r="LQ52" i="4"/>
  <c r="LF52" i="4"/>
  <c r="KZ52" i="4"/>
  <c r="LI52" i="4"/>
  <c r="LL49" i="4"/>
  <c r="LD52" i="4"/>
  <c r="LM52" i="4"/>
  <c r="LH52" i="4"/>
  <c r="LT52" i="4"/>
  <c r="LJ52" i="4"/>
  <c r="LK52" i="4"/>
  <c r="LF49" i="4"/>
  <c r="LG49" i="4"/>
  <c r="KX9" i="4"/>
  <c r="KY10" i="4" s="1"/>
  <c r="LT53" i="4"/>
  <c r="LM53" i="4"/>
  <c r="LF53" i="4"/>
  <c r="LQ49" i="4"/>
  <c r="LJ49" i="4"/>
  <c r="LK49" i="4"/>
  <c r="LT49" i="4"/>
  <c r="LD49" i="4"/>
  <c r="LD53" i="4"/>
  <c r="LH53" i="4"/>
  <c r="LG53" i="4"/>
  <c r="LE53" i="4"/>
  <c r="LQ53" i="4"/>
  <c r="LK53" i="4"/>
  <c r="KZ49" i="4"/>
  <c r="LH49" i="4"/>
  <c r="LE49" i="4"/>
  <c r="LG51" i="4"/>
  <c r="KZ51" i="4"/>
  <c r="LH51" i="4"/>
  <c r="LI51" i="4"/>
  <c r="LJ51" i="4"/>
  <c r="KP8" i="4"/>
  <c r="CN85" i="4"/>
  <c r="U100" i="4"/>
  <c r="GI11" i="4"/>
  <c r="KP7" i="4" s="1"/>
  <c r="U99" i="4"/>
  <c r="LF9" i="4"/>
  <c r="LJ9" i="4" l="1"/>
  <c r="LE9" i="4"/>
  <c r="LH9" i="4"/>
  <c r="KZ9" i="4"/>
  <c r="LI9" i="4"/>
  <c r="LD9" i="4"/>
  <c r="LG9" i="4"/>
  <c r="LQ9" i="4"/>
  <c r="LT9" i="4"/>
  <c r="KX21" i="4"/>
  <c r="KY22" i="4" s="1"/>
  <c r="LE22" i="4" s="1"/>
  <c r="LO54" i="4"/>
  <c r="LF40" i="4"/>
  <c r="LT40" i="4"/>
  <c r="LD40" i="4"/>
  <c r="LG40" i="4"/>
  <c r="LH40" i="4"/>
  <c r="LE40" i="4"/>
  <c r="LI40" i="4"/>
  <c r="LM40" i="4"/>
  <c r="LN40" i="4" s="1"/>
  <c r="LJ40" i="4"/>
  <c r="LQ40" i="4"/>
  <c r="LO50" i="4"/>
  <c r="LM55" i="4"/>
  <c r="LF17" i="4"/>
  <c r="LH55" i="4"/>
  <c r="LI55" i="4"/>
  <c r="LK55" i="4"/>
  <c r="LT55" i="4"/>
  <c r="LQ55" i="4"/>
  <c r="LM12" i="4"/>
  <c r="LD55" i="4"/>
  <c r="LJ55" i="4"/>
  <c r="LE55" i="4"/>
  <c r="LF12" i="4"/>
  <c r="KZ55" i="4"/>
  <c r="KZ38" i="4" s="1"/>
  <c r="LA53" i="4" s="1"/>
  <c r="LS53" i="4" s="1"/>
  <c r="LF55" i="4"/>
  <c r="LL55" i="4"/>
  <c r="LI16" i="4"/>
  <c r="LO46" i="4"/>
  <c r="LE17" i="4"/>
  <c r="KZ16" i="4"/>
  <c r="KZ17" i="4"/>
  <c r="LD12" i="4"/>
  <c r="LI17" i="4"/>
  <c r="LQ17" i="4"/>
  <c r="LO45" i="4"/>
  <c r="LH12" i="4"/>
  <c r="LO48" i="4"/>
  <c r="LL12" i="4"/>
  <c r="LI12" i="4"/>
  <c r="KZ12" i="4"/>
  <c r="LT17" i="4"/>
  <c r="LK17" i="4"/>
  <c r="LK12" i="4"/>
  <c r="LE12" i="4"/>
  <c r="LG17" i="4"/>
  <c r="LJ17" i="4"/>
  <c r="LL17" i="4"/>
  <c r="LO47" i="4"/>
  <c r="LF18" i="4"/>
  <c r="LQ16" i="4"/>
  <c r="LO51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O52" i="4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O53" i="4"/>
  <c r="LO4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K9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LQ22" i="4" l="1"/>
  <c r="LK22" i="4"/>
  <c r="LH22" i="4"/>
  <c r="LG22" i="4"/>
  <c r="LM22" i="4"/>
  <c r="LJ22" i="4"/>
  <c r="LI22" i="4"/>
  <c r="LF22" i="4"/>
  <c r="LT22" i="4"/>
  <c r="LL22" i="4"/>
  <c r="LD22" i="4"/>
  <c r="LO55" i="4"/>
  <c r="LI7" i="4"/>
  <c r="LA55" i="4"/>
  <c r="LS55" i="4" s="1"/>
  <c r="LO20" i="4"/>
  <c r="LQ8" i="4"/>
  <c r="LO12" i="4"/>
  <c r="LI8" i="4"/>
  <c r="LO17" i="4"/>
  <c r="LH8" i="4"/>
  <c r="LA43" i="4"/>
  <c r="LS43" i="4" s="1"/>
  <c r="LO21" i="4"/>
  <c r="LA51" i="4"/>
  <c r="LS51" i="4" s="1"/>
  <c r="LA49" i="4"/>
  <c r="LS49" i="4" s="1"/>
  <c r="LA46" i="4"/>
  <c r="LS46" i="4" s="1"/>
  <c r="LE8" i="4"/>
  <c r="LA52" i="4"/>
  <c r="LS52" i="4" s="1"/>
  <c r="KZ39" i="4"/>
  <c r="LT8" i="4"/>
  <c r="LO19" i="4"/>
  <c r="LA54" i="4"/>
  <c r="LS54" i="4" s="1"/>
  <c r="LA45" i="4"/>
  <c r="LS45" i="4" s="1"/>
  <c r="BD45" i="4" s="1"/>
  <c r="BD110" i="4" s="1"/>
  <c r="LA41" i="4"/>
  <c r="LS41" i="4" s="1"/>
  <c r="LA44" i="4"/>
  <c r="LS44" i="4" s="1"/>
  <c r="BD44" i="4" s="1"/>
  <c r="BD109" i="4" s="1"/>
  <c r="LA40" i="4"/>
  <c r="LS40" i="4" s="1"/>
  <c r="LA48" i="4"/>
  <c r="LS48" i="4" s="1"/>
  <c r="LO16" i="4"/>
  <c r="LO18" i="4"/>
  <c r="KZ7" i="4"/>
  <c r="LF7" i="4"/>
  <c r="LG7" i="4"/>
  <c r="LE7" i="4"/>
  <c r="LQ7" i="4"/>
  <c r="LH7" i="4"/>
  <c r="LO14" i="4"/>
  <c r="LJ8" i="4"/>
  <c r="KZ8" i="4"/>
  <c r="LF8" i="4"/>
  <c r="LA42" i="4"/>
  <c r="LA47" i="4"/>
  <c r="LS47" i="4" s="1"/>
  <c r="LA50" i="4"/>
  <c r="LS50" i="4" s="1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S42" i="4"/>
  <c r="BD42" i="4" s="1"/>
  <c r="BD107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22" i="4" l="1"/>
  <c r="LK8" i="4"/>
  <c r="LL40" i="4"/>
  <c r="LO40" i="4" s="1"/>
  <c r="BE40" i="4" s="1"/>
  <c r="LU46" i="4"/>
  <c r="LW52" i="4" s="1"/>
  <c r="W52" i="4" s="1"/>
  <c r="X135" i="4" s="1"/>
  <c r="LL41" i="4"/>
  <c r="LO41" i="4" s="1"/>
  <c r="BE41" i="4" s="1"/>
  <c r="LL42" i="4"/>
  <c r="LO42" i="4" s="1"/>
  <c r="BE42" i="4" s="1"/>
  <c r="LK7" i="4"/>
  <c r="LU47" i="4"/>
  <c r="LW54" i="4" s="1"/>
  <c r="W54" i="4" s="1"/>
  <c r="X138" i="4" s="1"/>
  <c r="LU45" i="4"/>
  <c r="LW50" i="4" s="1"/>
  <c r="W50" i="4" s="1"/>
  <c r="X134" i="4" s="1"/>
  <c r="LU42" i="4"/>
  <c r="LW44" i="4" s="1"/>
  <c r="W44" i="4" s="1"/>
  <c r="X127" i="4" s="1"/>
  <c r="LU43" i="4"/>
  <c r="LW46" i="4" s="1"/>
  <c r="W46" i="4" s="1"/>
  <c r="GJ43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X136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52" i="4"/>
  <c r="LW64" i="4" s="1"/>
  <c r="W64" i="4" s="1"/>
  <c r="LU44" i="4"/>
  <c r="LW48" i="4" s="1"/>
  <c r="W48" i="4" s="1"/>
  <c r="LU41" i="4"/>
  <c r="LW42" i="4" s="1"/>
  <c r="W42" i="4" s="1"/>
  <c r="LU48" i="4"/>
  <c r="LW56" i="4" s="1"/>
  <c r="W56" i="4" s="1"/>
  <c r="LU54" i="4"/>
  <c r="LW68" i="4" s="1"/>
  <c r="W68" i="4" s="1"/>
  <c r="LU49" i="4"/>
  <c r="LW58" i="4" s="1"/>
  <c r="W58" i="4" s="1"/>
  <c r="LU55" i="4"/>
  <c r="LW70" i="4" s="1"/>
  <c r="W70" i="4" s="1"/>
  <c r="LU50" i="4"/>
  <c r="LW60" i="4" s="1"/>
  <c r="W60" i="4" s="1"/>
  <c r="LU53" i="4"/>
  <c r="LW66" i="4" s="1"/>
  <c r="W66" i="4" s="1"/>
  <c r="LU51" i="4"/>
  <c r="LW62" i="4" s="1"/>
  <c r="W62" i="4" s="1"/>
  <c r="DX83" i="4" l="1"/>
  <c r="CQ99" i="4"/>
  <c r="DV99" i="4" s="1"/>
  <c r="CQ103" i="4"/>
  <c r="DT103" i="4" s="1"/>
  <c r="GE115" i="11" s="1"/>
  <c r="GJ46" i="4"/>
  <c r="LA11" i="4"/>
  <c r="LS11" i="4" s="1"/>
  <c r="CQ104" i="4"/>
  <c r="DT104" i="4" s="1"/>
  <c r="GE116" i="11" s="1"/>
  <c r="GJ47" i="4"/>
  <c r="X123" i="4"/>
  <c r="X137" i="4"/>
  <c r="X124" i="4"/>
  <c r="CQ97" i="4"/>
  <c r="DV97" i="4" s="1"/>
  <c r="GJ45" i="4"/>
  <c r="CQ102" i="4"/>
  <c r="DV102" i="4" s="1"/>
  <c r="X133" i="4"/>
  <c r="CQ100" i="4"/>
  <c r="DT100" i="4" s="1"/>
  <c r="GE112" i="11" s="1"/>
  <c r="X129" i="4"/>
  <c r="X130" i="4"/>
  <c r="X128" i="4"/>
  <c r="GJ42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54" i="4"/>
  <c r="CQ112" i="4"/>
  <c r="GJ55" i="4"/>
  <c r="X153" i="4"/>
  <c r="X131" i="4"/>
  <c r="CQ101" i="4"/>
  <c r="GJ44" i="4"/>
  <c r="X132" i="4"/>
  <c r="CQ107" i="4"/>
  <c r="X143" i="4"/>
  <c r="X144" i="4"/>
  <c r="GJ50" i="4"/>
  <c r="GJ48" i="4"/>
  <c r="X139" i="4"/>
  <c r="X140" i="4"/>
  <c r="CQ105" i="4"/>
  <c r="CQ98" i="4"/>
  <c r="X126" i="4"/>
  <c r="X125" i="4"/>
  <c r="GJ41" i="4"/>
  <c r="GJ53" i="4"/>
  <c r="X149" i="4"/>
  <c r="CQ110" i="4"/>
  <c r="X150" i="4"/>
  <c r="CQ111" i="4"/>
  <c r="X151" i="4"/>
  <c r="X152" i="4"/>
  <c r="GJ54" i="4"/>
  <c r="CQ108" i="4"/>
  <c r="GJ51" i="4"/>
  <c r="X146" i="4"/>
  <c r="X145" i="4"/>
  <c r="X141" i="4"/>
  <c r="GJ49" i="4"/>
  <c r="X142" i="4"/>
  <c r="CQ106" i="4"/>
  <c r="X148" i="4"/>
  <c r="CQ109" i="4"/>
  <c r="GJ52" i="4"/>
  <c r="X147" i="4"/>
  <c r="GG114" i="11"/>
  <c r="GG100" i="11"/>
  <c r="GG102" i="11"/>
  <c r="GG101" i="11"/>
  <c r="GG95" i="11"/>
  <c r="EA83" i="4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DU97" i="4" l="1"/>
  <c r="GF109" i="11" s="1"/>
  <c r="GG96" i="11"/>
  <c r="DX84" i="4"/>
  <c r="GG111" i="11"/>
  <c r="GG109" i="11"/>
  <c r="LU7" i="4"/>
  <c r="LW7" i="4" s="1"/>
  <c r="DV103" i="4"/>
  <c r="DU103" i="4"/>
  <c r="GF115" i="11" s="1"/>
  <c r="DT99" i="4"/>
  <c r="GE111" i="11" s="1"/>
  <c r="DS99" i="4"/>
  <c r="GD111" i="11" s="1"/>
  <c r="DU99" i="4"/>
  <c r="GF111" i="11" s="1"/>
  <c r="DS103" i="4"/>
  <c r="GD115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4" i="4"/>
  <c r="GG116" i="11" s="1"/>
  <c r="DV100" i="4"/>
  <c r="DS100" i="4"/>
  <c r="GD112" i="11" s="1"/>
  <c r="DT97" i="4"/>
  <c r="GE109" i="11" s="1"/>
  <c r="DS104" i="4"/>
  <c r="GD116" i="11" s="1"/>
  <c r="DU100" i="4"/>
  <c r="GF112" i="11" s="1"/>
  <c r="DU104" i="4"/>
  <c r="GF116" i="11" s="1"/>
  <c r="DS97" i="4"/>
  <c r="GD109" i="11" s="1"/>
  <c r="DT102" i="4"/>
  <c r="GE114" i="11" s="1"/>
  <c r="DU102" i="4"/>
  <c r="GF114" i="11" s="1"/>
  <c r="DS102" i="4"/>
  <c r="GD114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T111" i="4"/>
  <c r="GE123" i="11" s="1"/>
  <c r="DV111" i="4"/>
  <c r="GG123" i="11" s="1"/>
  <c r="DS111" i="4"/>
  <c r="GD123" i="11" s="1"/>
  <c r="DU111" i="4"/>
  <c r="GF123" i="11" s="1"/>
  <c r="DU98" i="4"/>
  <c r="GF110" i="11" s="1"/>
  <c r="DV98" i="4"/>
  <c r="DS98" i="4"/>
  <c r="GD110" i="11" s="1"/>
  <c r="DT98" i="4"/>
  <c r="GE110" i="11" s="1"/>
  <c r="DU107" i="4"/>
  <c r="GF119" i="11" s="1"/>
  <c r="DV107" i="4"/>
  <c r="GG119" i="11" s="1"/>
  <c r="DS107" i="4"/>
  <c r="GD119" i="11" s="1"/>
  <c r="DT107" i="4"/>
  <c r="GE119" i="11" s="1"/>
  <c r="DT109" i="4"/>
  <c r="GE121" i="11" s="1"/>
  <c r="DV109" i="4"/>
  <c r="GG121" i="11" s="1"/>
  <c r="DS109" i="4"/>
  <c r="GD121" i="11" s="1"/>
  <c r="DU109" i="4"/>
  <c r="GF121" i="11" s="1"/>
  <c r="DU101" i="4"/>
  <c r="GF113" i="11" s="1"/>
  <c r="DV101" i="4"/>
  <c r="DT101" i="4"/>
  <c r="GE113" i="11" s="1"/>
  <c r="DS101" i="4"/>
  <c r="GD113" i="11" s="1"/>
  <c r="DS112" i="4"/>
  <c r="GD124" i="11" s="1"/>
  <c r="DV112" i="4"/>
  <c r="GG124" i="11" s="1"/>
  <c r="DT112" i="4"/>
  <c r="GE124" i="11" s="1"/>
  <c r="DU112" i="4"/>
  <c r="GF124" i="11" s="1"/>
  <c r="DU110" i="4"/>
  <c r="GF122" i="11" s="1"/>
  <c r="DV110" i="4"/>
  <c r="GG122" i="11" s="1"/>
  <c r="DT110" i="4"/>
  <c r="GE122" i="11" s="1"/>
  <c r="DS110" i="4"/>
  <c r="GD122" i="11" s="1"/>
  <c r="DS108" i="4"/>
  <c r="GD120" i="11" s="1"/>
  <c r="DV108" i="4"/>
  <c r="GG120" i="11" s="1"/>
  <c r="DU108" i="4"/>
  <c r="GF120" i="11" s="1"/>
  <c r="DT108" i="4"/>
  <c r="GE120" i="11" s="1"/>
  <c r="DS106" i="4"/>
  <c r="GD118" i="11" s="1"/>
  <c r="DV106" i="4"/>
  <c r="DU106" i="4"/>
  <c r="GF118" i="11" s="1"/>
  <c r="DT106" i="4"/>
  <c r="GE118" i="11" s="1"/>
  <c r="DU105" i="4"/>
  <c r="GF117" i="11" s="1"/>
  <c r="DV105" i="4"/>
  <c r="DT105" i="4"/>
  <c r="GE117" i="11" s="1"/>
  <c r="DS105" i="4"/>
  <c r="GD117" i="11" s="1"/>
  <c r="DX101" i="4" l="1"/>
  <c r="GG112" i="11"/>
  <c r="DX100" i="4"/>
  <c r="DX98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X82" i="4" l="1"/>
  <c r="EA82" i="4" s="1"/>
  <c r="EA98" i="4"/>
  <c r="EA89" i="4"/>
  <c r="X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X85" i="4" l="1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1" i="4"/>
  <c r="HF82" i="4" s="1"/>
  <c r="AC9" i="4" s="1"/>
  <c r="EM82" i="4" s="1"/>
  <c r="EN82" i="4" s="1"/>
  <c r="HB80" i="4"/>
  <c r="HF80" i="4" s="1"/>
  <c r="AC7" i="4" s="1"/>
  <c r="HB82" i="4"/>
  <c r="HF84" i="4" s="1"/>
  <c r="AC11" i="4" s="1"/>
  <c r="EC97" i="4" l="1"/>
  <c r="EG97" i="4" s="1"/>
  <c r="EJ97" i="4" s="1"/>
  <c r="EL97" i="4" s="1"/>
  <c r="EA105" i="4"/>
  <c r="EC105" i="4"/>
  <c r="EG105" i="4" s="1"/>
  <c r="EJ105" i="4" s="1"/>
  <c r="DR82" i="4"/>
  <c r="GI94" i="11" s="1"/>
  <c r="GJ94" i="11" s="1"/>
  <c r="DR83" i="4"/>
  <c r="GI95" i="11" s="1"/>
  <c r="GJ95" i="11" s="1"/>
  <c r="EM83" i="4"/>
  <c r="EN83" i="4" s="1"/>
  <c r="EM81" i="4"/>
  <c r="EN81" i="4" s="1"/>
  <c r="DR81" i="4"/>
  <c r="GI93" i="11" s="1"/>
  <c r="GJ93" i="11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99" i="4" l="1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EM100" i="4" l="1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Q26" i="11" s="1"/>
  <c r="M16" i="3" s="1"/>
  <c r="DA22" i="11"/>
  <c r="DB22" i="11" s="1"/>
  <c r="DC22" i="11" s="1"/>
  <c r="DE22" i="11" s="1"/>
  <c r="DG22" i="11" s="1"/>
  <c r="Q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Q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38" i="11"/>
  <c r="D58" i="11"/>
  <c r="D48" i="11"/>
  <c r="DL48" i="11" s="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3" i="4"/>
  <c r="EA123" i="4" s="1"/>
  <c r="DX125" i="4"/>
  <c r="EA125" i="4" s="1"/>
  <c r="DX124" i="4"/>
  <c r="EA124" i="4" s="1"/>
  <c r="A38" i="11" l="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BD5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GQ118" i="11" l="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DS123" i="4" s="1"/>
  <c r="DU123" i="4" s="1"/>
  <c r="EB123" i="4" s="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DR122" i="4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37" i="4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21" i="4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2" i="4" l="1"/>
  <c r="DU122" i="4" s="1"/>
  <c r="DX122" i="4"/>
  <c r="EA122" i="4" s="1"/>
  <c r="DS121" i="4"/>
  <c r="DU121" i="4" s="1"/>
  <c r="DX121" i="4"/>
  <c r="EA121" i="4" s="1"/>
  <c r="DS137" i="4"/>
  <c r="DU137" i="4" s="1"/>
  <c r="DX137" i="4"/>
  <c r="EA137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21" i="4"/>
  <c r="EB137" i="4"/>
  <c r="EB122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EB141" i="4"/>
  <c r="EB139" i="4"/>
  <c r="DR140" i="4"/>
  <c r="HH98" i="11" l="1"/>
  <c r="HM98" i="11" s="1"/>
  <c r="DR138" i="4"/>
  <c r="DS138" i="4" s="1"/>
  <c r="DU138" i="4" s="1"/>
  <c r="DN119" i="4"/>
  <c r="DR136" i="4" s="1"/>
  <c r="DX138" i="4"/>
  <c r="EA138" i="4" s="1"/>
  <c r="BC35" i="11"/>
  <c r="CG37" i="11"/>
  <c r="DN122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DS136" i="4" l="1"/>
  <c r="DU136" i="4" s="1"/>
  <c r="DX136" i="4"/>
  <c r="EA136" i="4" s="1"/>
  <c r="CE53" i="11"/>
  <c r="K46" i="11" s="1"/>
  <c r="EB138" i="4"/>
  <c r="HM96" i="11"/>
  <c r="HN96" i="11" s="1"/>
  <c r="EB140" i="4"/>
  <c r="EB136" i="4" l="1"/>
  <c r="CF53" i="11"/>
  <c r="FN114" i="4" s="1"/>
  <c r="K48" i="11"/>
  <c r="P13" i="3" s="1"/>
  <c r="P12" i="3"/>
  <c r="CG35" i="11"/>
  <c r="DN120" i="4" s="1"/>
  <c r="DR118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DX118" i="4" l="1"/>
  <c r="EA118" i="4" s="1"/>
  <c r="DS118" i="4"/>
  <c r="DU118" i="4" s="1"/>
  <c r="EB118" i="4" s="1"/>
  <c r="HU98" i="11"/>
  <c r="K38" i="11" s="1"/>
  <c r="CG36" i="11"/>
  <c r="DN121" i="4" s="1"/>
  <c r="G5" i="3"/>
  <c r="HO118" i="11"/>
  <c r="HQ118" i="11" s="1"/>
  <c r="HP117" i="11"/>
  <c r="HP98" i="11"/>
  <c r="HO94" i="11"/>
  <c r="HQ94" i="11" s="1"/>
  <c r="HU94" i="11" s="1"/>
  <c r="IA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HP121" i="11"/>
  <c r="HO110" i="11"/>
  <c r="HQ110" i="11" s="1"/>
  <c r="HP124" i="11"/>
  <c r="HP103" i="11"/>
  <c r="HP113" i="11"/>
  <c r="HO95" i="11"/>
  <c r="HQ95" i="11" s="1"/>
  <c r="HU93" i="11" s="1"/>
  <c r="IA93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29" i="4"/>
  <c r="EU131" i="4"/>
  <c r="ET136" i="4"/>
  <c r="EW136" i="4" s="1"/>
  <c r="EU128" i="4"/>
  <c r="ET137" i="4"/>
  <c r="EW137" i="4" s="1"/>
  <c r="EU133" i="4"/>
  <c r="EU134" i="4"/>
  <c r="DR134" i="4" l="1"/>
  <c r="DS134" i="4" s="1"/>
  <c r="DU134" i="4" s="1"/>
  <c r="DR135" i="4"/>
  <c r="CG34" i="11"/>
  <c r="P11" i="3"/>
  <c r="HU96" i="11"/>
  <c r="HW96" i="11" s="1"/>
  <c r="HU97" i="11"/>
  <c r="K36" i="11" s="1"/>
  <c r="HX98" i="11"/>
  <c r="HW98" i="11"/>
  <c r="DX134" i="4"/>
  <c r="EA134" i="4" s="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DX135" i="4" l="1"/>
  <c r="EA135" i="4" s="1"/>
  <c r="DS135" i="4"/>
  <c r="DU135" i="4" s="1"/>
  <c r="CG33" i="11"/>
  <c r="DN118" i="4" s="1"/>
  <c r="P10" i="3"/>
  <c r="EB134" i="4"/>
  <c r="HX97" i="11"/>
  <c r="HW97" i="11"/>
  <c r="EB135" i="4" l="1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T126" i="4"/>
  <c r="ET125" i="4"/>
  <c r="EU127" i="4"/>
  <c r="ET128" i="4"/>
  <c r="EW128" i="4" s="1"/>
  <c r="DS120" i="4" l="1"/>
  <c r="DU120" i="4" s="1"/>
  <c r="EB120" i="4" s="1"/>
  <c r="DS119" i="4"/>
  <c r="DU119" i="4" s="1"/>
  <c r="DX119" i="4"/>
  <c r="EA119" i="4" s="1"/>
  <c r="EB119" i="4" l="1"/>
  <c r="EF124" i="4" s="1"/>
  <c r="EF123" i="4"/>
  <c r="EF138" i="4"/>
  <c r="EF146" i="4"/>
  <c r="EF139" i="4"/>
  <c r="EF120" i="4"/>
  <c r="EF128" i="4"/>
  <c r="EF134" i="4"/>
  <c r="EF136" i="4"/>
  <c r="EF125" i="4"/>
  <c r="EF133" i="4"/>
  <c r="EF127" i="4"/>
  <c r="EF140" i="4"/>
  <c r="EF129" i="4"/>
  <c r="EF145" i="4"/>
  <c r="EF142" i="4"/>
  <c r="EF143" i="4"/>
  <c r="EF141" i="4"/>
  <c r="EF132" i="4"/>
  <c r="EF130" i="4"/>
  <c r="EF147" i="4"/>
  <c r="EF149" i="4"/>
  <c r="EF148" i="4"/>
  <c r="EF122" i="4"/>
  <c r="EF137" i="4"/>
  <c r="EF131" i="4"/>
  <c r="EF119" i="4"/>
  <c r="EF144" i="4"/>
  <c r="EF126" i="4"/>
  <c r="EK126" i="4" s="1"/>
  <c r="EU126" i="4" s="1"/>
  <c r="EW126" i="4" s="1"/>
  <c r="EF135" i="4"/>
  <c r="EK135" i="4" s="1"/>
  <c r="EQ135" i="4" s="1"/>
  <c r="EO135" i="4" s="1"/>
  <c r="ER135" i="4" s="1"/>
  <c r="EF121" i="4"/>
  <c r="EF118" i="4" l="1"/>
  <c r="EK137" i="4"/>
  <c r="EQ137" i="4" s="1"/>
  <c r="EO137" i="4" s="1"/>
  <c r="ER137" i="4" s="1"/>
  <c r="EK143" i="4"/>
  <c r="EJ143" i="4" s="1"/>
  <c r="EK136" i="4"/>
  <c r="EQ136" i="4" s="1"/>
  <c r="EO136" i="4" s="1"/>
  <c r="ER136" i="4" s="1"/>
  <c r="EK149" i="4"/>
  <c r="EJ149" i="4" s="1"/>
  <c r="EK129" i="4"/>
  <c r="EJ129" i="4" s="1"/>
  <c r="EI120" i="4"/>
  <c r="EK120" i="4"/>
  <c r="EQ120" i="4" s="1"/>
  <c r="EO120" i="4" s="1"/>
  <c r="ER120" i="4" s="1"/>
  <c r="EK144" i="4"/>
  <c r="EQ144" i="4" s="1"/>
  <c r="EO144" i="4" s="1"/>
  <c r="ER144" i="4" s="1"/>
  <c r="EI122" i="4"/>
  <c r="EK122" i="4"/>
  <c r="EJ122" i="4" s="1"/>
  <c r="EK130" i="4"/>
  <c r="EU130" i="4" s="1"/>
  <c r="EW130" i="4" s="1"/>
  <c r="EK142" i="4"/>
  <c r="EQ142" i="4" s="1"/>
  <c r="EO142" i="4" s="1"/>
  <c r="ER142" i="4" s="1"/>
  <c r="EK127" i="4"/>
  <c r="EJ127" i="4" s="1"/>
  <c r="EK134" i="4"/>
  <c r="EJ134" i="4" s="1"/>
  <c r="EK146" i="4"/>
  <c r="EQ146" i="4" s="1"/>
  <c r="EO146" i="4" s="1"/>
  <c r="ER146" i="4" s="1"/>
  <c r="EK123" i="4"/>
  <c r="EQ123" i="4" s="1"/>
  <c r="EO123" i="4" s="1"/>
  <c r="ER123" i="4" s="1"/>
  <c r="EI123" i="4"/>
  <c r="EJ135" i="4"/>
  <c r="EK147" i="4"/>
  <c r="EJ147" i="4" s="1"/>
  <c r="EK140" i="4"/>
  <c r="EQ140" i="4" s="1"/>
  <c r="EO140" i="4" s="1"/>
  <c r="ER140" i="4" s="1"/>
  <c r="EK139" i="4"/>
  <c r="EQ139" i="4" s="1"/>
  <c r="EO139" i="4" s="1"/>
  <c r="ER139" i="4" s="1"/>
  <c r="EK124" i="4"/>
  <c r="EU124" i="4" s="1"/>
  <c r="EK131" i="4"/>
  <c r="EJ131" i="4" s="1"/>
  <c r="EK141" i="4"/>
  <c r="EJ141" i="4" s="1"/>
  <c r="EK125" i="4"/>
  <c r="EU125" i="4" s="1"/>
  <c r="EW125" i="4" s="1"/>
  <c r="EK118" i="4"/>
  <c r="EU118" i="4" s="1"/>
  <c r="EW118" i="4" s="1"/>
  <c r="EI118" i="4"/>
  <c r="EK121" i="4"/>
  <c r="EI121" i="4"/>
  <c r="EK119" i="4"/>
  <c r="EI119" i="4"/>
  <c r="EK148" i="4"/>
  <c r="EQ148" i="4" s="1"/>
  <c r="EO148" i="4" s="1"/>
  <c r="ER148" i="4" s="1"/>
  <c r="EK132" i="4"/>
  <c r="EU132" i="4" s="1"/>
  <c r="EW132" i="4" s="1"/>
  <c r="EK145" i="4"/>
  <c r="EQ145" i="4" s="1"/>
  <c r="EO145" i="4" s="1"/>
  <c r="ER145" i="4" s="1"/>
  <c r="EK133" i="4"/>
  <c r="EJ133" i="4" s="1"/>
  <c r="EK128" i="4"/>
  <c r="EQ128" i="4" s="1"/>
  <c r="EO128" i="4" s="1"/>
  <c r="ER128" i="4" s="1"/>
  <c r="EK138" i="4"/>
  <c r="EQ138" i="4" s="1"/>
  <c r="EO138" i="4" s="1"/>
  <c r="ER138" i="4" s="1"/>
  <c r="EJ126" i="4"/>
  <c r="EQ126" i="4"/>
  <c r="EO126" i="4" s="1"/>
  <c r="ER126" i="4" s="1"/>
  <c r="EJ132" i="4" l="1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23" i="4"/>
  <c r="EL119" i="4"/>
  <c r="EJ146" i="4"/>
  <c r="EJ124" i="4"/>
  <c r="EQ127" i="4"/>
  <c r="EO127" i="4" s="1"/>
  <c r="ER127" i="4" s="1"/>
  <c r="EQ122" i="4"/>
  <c r="EO122" i="4" s="1"/>
  <c r="ER122" i="4" s="1"/>
  <c r="EJ144" i="4"/>
  <c r="EQ129" i="4"/>
  <c r="EO129" i="4" s="1"/>
  <c r="ER129" i="4" s="1"/>
  <c r="EJ119" i="4"/>
  <c r="EQ119" i="4"/>
  <c r="EO119" i="4" s="1"/>
  <c r="ER119" i="4" s="1"/>
  <c r="ET127" i="4"/>
  <c r="EW127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R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L120" i="4"/>
  <c r="EJ148" i="4"/>
  <c r="EL121" i="4"/>
  <c r="EJ125" i="4"/>
  <c r="EQ131" i="4"/>
  <c r="EO131" i="4" s="1"/>
  <c r="ER131" i="4" s="1"/>
  <c r="EQ130" i="4"/>
  <c r="EO130" i="4" s="1"/>
  <c r="ER130" i="4" s="1"/>
  <c r="EL122" i="4"/>
  <c r="EQ149" i="4"/>
  <c r="EO149" i="4" s="1"/>
  <c r="ER149" i="4" s="1"/>
  <c r="EQ143" i="4"/>
  <c r="EO143" i="4" s="1"/>
  <c r="ER143" i="4" s="1"/>
  <c r="EN122" i="4"/>
  <c r="ES122" i="4" s="1"/>
  <c r="EU122" i="4" s="1"/>
  <c r="EN119" i="4" l="1"/>
  <c r="ES119" i="4" s="1"/>
  <c r="EU119" i="4" s="1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 l="1"/>
  <c r="FG143" i="4" s="1"/>
  <c r="FF122" i="4"/>
  <c r="FF142" i="4"/>
  <c r="FC133" i="4"/>
  <c r="FG133" i="4" s="1"/>
  <c r="FF139" i="4"/>
  <c r="FF132" i="4"/>
  <c r="FF126" i="4"/>
  <c r="FL130" i="4" s="1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FL126" i="4" l="1"/>
  <c r="FL120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/>
  <c r="A20" i="3" s="1"/>
  <c r="B20" i="3" s="1"/>
  <c r="F37" i="3" l="1"/>
  <c r="A37" i="3" s="1"/>
  <c r="C37" i="3" s="1"/>
  <c r="F19" i="3"/>
  <c r="A19" i="3" s="1"/>
  <c r="C19" i="3" s="1"/>
  <c r="J10" i="3"/>
  <c r="U10" i="3" s="1"/>
  <c r="AD10" i="3" s="1"/>
  <c r="F18" i="3"/>
  <c r="A18" i="3" s="1"/>
  <c r="B18" i="3" s="1"/>
  <c r="F10" i="3"/>
  <c r="A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C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E11" i="3" s="1"/>
  <c r="F25" i="3"/>
  <c r="A25" i="3" s="1"/>
  <c r="B25" i="3" s="1"/>
  <c r="F30" i="3"/>
  <c r="A30" i="3" s="1"/>
  <c r="E30" i="3" s="1"/>
  <c r="F17" i="3"/>
  <c r="A17" i="3" s="1"/>
  <c r="B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C16" i="3" s="1"/>
  <c r="F23" i="3"/>
  <c r="A23" i="3" s="1"/>
  <c r="B23" i="3" s="1"/>
  <c r="F36" i="3"/>
  <c r="A36" i="3" s="1"/>
  <c r="C36" i="3" s="1"/>
  <c r="F15" i="3"/>
  <c r="A15" i="3" s="1"/>
  <c r="F26" i="3"/>
  <c r="A26" i="3" s="1"/>
  <c r="E26" i="3" s="1"/>
  <c r="F29" i="3"/>
  <c r="A29" i="3" s="1"/>
  <c r="E29" i="3" s="1"/>
  <c r="F14" i="3"/>
  <c r="A14" i="3" s="1"/>
  <c r="C14" i="3" s="1"/>
  <c r="F39" i="3"/>
  <c r="A39" i="3" s="1"/>
  <c r="C39" i="3" s="1"/>
  <c r="F21" i="3"/>
  <c r="A21" i="3" s="1"/>
  <c r="C21" i="3" s="1"/>
  <c r="F12" i="3"/>
  <c r="A12" i="3" s="1"/>
  <c r="B12" i="3" s="1"/>
  <c r="F34" i="3"/>
  <c r="A34" i="3" s="1"/>
  <c r="E34" i="3" s="1"/>
  <c r="F22" i="3"/>
  <c r="A22" i="3" s="1"/>
  <c r="B22" i="3" s="1"/>
  <c r="C22" i="3"/>
  <c r="B19" i="3"/>
  <c r="E37" i="3"/>
  <c r="B41" i="3"/>
  <c r="B37" i="3"/>
  <c r="B27" i="3"/>
  <c r="C28" i="3"/>
  <c r="C20" i="3"/>
  <c r="C29" i="3"/>
  <c r="C41" i="3"/>
  <c r="C18" i="3"/>
  <c r="E17" i="3"/>
  <c r="B10" i="3"/>
  <c r="C10" i="3"/>
  <c r="E10" i="3"/>
  <c r="E35" i="3"/>
  <c r="B35" i="3"/>
  <c r="E13" i="3"/>
  <c r="C17" i="3"/>
  <c r="E20" i="3"/>
  <c r="B29" i="3"/>
  <c r="C30" i="3"/>
  <c r="B30" i="3"/>
  <c r="C15" i="3"/>
  <c r="B15" i="3"/>
  <c r="E15" i="3"/>
  <c r="B13" i="3" l="1"/>
  <c r="B28" i="3"/>
  <c r="B26" i="3"/>
  <c r="E18" i="3"/>
  <c r="B14" i="3"/>
  <c r="E19" i="3"/>
  <c r="E32" i="3"/>
  <c r="E27" i="3"/>
  <c r="C26" i="3"/>
  <c r="C31" i="3"/>
  <c r="E39" i="3"/>
  <c r="B39" i="3"/>
  <c r="B31" i="3"/>
  <c r="B40" i="3"/>
  <c r="E40" i="3"/>
  <c r="C23" i="3"/>
  <c r="E14" i="3"/>
  <c r="B32" i="3"/>
  <c r="C12" i="3"/>
  <c r="E12" i="3"/>
  <c r="B11" i="3"/>
  <c r="E23" i="3"/>
  <c r="E22" i="3"/>
  <c r="E36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I6" i="1" l="1"/>
  <c r="B6" i="1"/>
  <c r="C6" i="1"/>
  <c r="A5" i="21" l="1"/>
  <c r="B5" i="21" s="1"/>
  <c r="P3" i="21" s="1"/>
</calcChain>
</file>

<file path=xl/sharedStrings.xml><?xml version="1.0" encoding="utf-8"?>
<sst xmlns="http://schemas.openxmlformats.org/spreadsheetml/2006/main" count="356" uniqueCount="85">
  <si>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</si>
  <si>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</si>
  <si>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</si>
  <si>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</si>
  <si>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</si>
  <si>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</si>
  <si>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</si>
  <si>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</si>
  <si>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</si>
  <si>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</si>
  <si>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</si>
  <si>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</si>
  <si>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</si>
  <si>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</si>
  <si>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</si>
  <si>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</si>
  <si>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</si>
  <si>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</si>
  <si>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</si>
  <si>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</si>
  <si>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</si>
  <si>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</si>
  <si>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</si>
  <si>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</si>
  <si>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</si>
  <si>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</si>
  <si>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</si>
  <si>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</si>
  <si>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</si>
  <si>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</si>
  <si>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</si>
  <si>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</si>
  <si>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</si>
  <si>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</si>
  <si>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</si>
  <si>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</si>
  <si>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</si>
  <si>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</si>
  <si>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</si>
  <si>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</si>
  <si>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</si>
  <si>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</si>
  <si>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</si>
  <si>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</si>
  <si>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</si>
  <si>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</si>
  <si>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</si>
  <si>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</si>
  <si>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</si>
  <si>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</si>
  <si>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</si>
  <si>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</si>
  <si>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</si>
  <si>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</si>
  <si>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</si>
  <si>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</si>
  <si>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</si>
  <si>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</si>
  <si>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</si>
  <si>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</si>
  <si>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</si>
  <si>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</si>
  <si>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</si>
  <si>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</si>
  <si>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</si>
  <si>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</si>
  <si>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</si>
  <si>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</si>
  <si>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</si>
  <si>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</si>
  <si>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</si>
  <si>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</si>
  <si>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</si>
  <si>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>Bělohoubek Daniel</t>
  </si>
  <si>
    <t>Tichá</t>
  </si>
  <si>
    <t>v.s.</t>
  </si>
  <si>
    <t xml:space="preserve">Jabłońska Natasza </t>
  </si>
  <si>
    <t>ULSK</t>
  </si>
  <si>
    <t>MÍSAŘ Filip</t>
  </si>
  <si>
    <t>H.Brod</t>
  </si>
  <si>
    <t>Jílek Filip</t>
  </si>
  <si>
    <t>Čech.</t>
  </si>
  <si>
    <t>Uhliarik Max</t>
  </si>
  <si>
    <t>Nitra</t>
  </si>
  <si>
    <t>Novosadová Natália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</si>
</sst>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Font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0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right" vertical="center"/>
    </xf>
    <xf numFmtId="166" fontId="0" fillId="0" borderId="0" xfId="0" applyNumberFormat="1"/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0" fontId="0" fillId="0" borderId="37" xfId="0" applyBorder="1" applyAlignment="1">
      <alignment horizontal="center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36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37" xfId="0" applyBorder="1" applyAlignment="1">
      <alignment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26" fillId="0" borderId="0" xfId="0" applyFont="1"/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/>
    <xf numFmtId="0" fontId="0" fillId="0" borderId="0" xfId="0" applyAlignment="1">
      <alignment vertical="center" textRotation="90"/>
    </xf>
    <xf numFmtId="0" fontId="0" fillId="0" borderId="84" xfId="0" applyBorder="1" applyAlignment="1">
      <alignment horizontal="right" vertical="center"/>
    </xf>
    <xf numFmtId="0" fontId="5" fillId="0" borderId="171" xfId="0" applyFont="1" applyBorder="1" applyAlignment="1">
      <alignment horizontal="center" vertical="center" wrapText="1"/>
    </xf>
    <xf numFmtId="14" fontId="0" fillId="0" borderId="0" xfId="0" applyNumberFormat="1" applyAlignment="1">
      <alignment horizontal="left" vertical="center"/>
    </xf>
    <xf numFmtId="0" fontId="13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16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5" fillId="0" borderId="0" xfId="0" applyFont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opLeftCell="A8" workbookViewId="0">
      <selection activeCell="B13" sqref="B13"/>
    </sheetView>
  </sheetViews>
  <sheetFormatPr defaultRowHeight="13.2" x14ac:dyDescent="0.25"/>
  <cols>
    <col min="1" max="1" width="12.44140625" customWidth="1"/>
    <col min="2" max="2" width="47.44140625" customWidth="1"/>
    <col min="3" max="3" width="22.109375" customWidth="1"/>
    <col min="4" max="4" width="0" style="36" hidden="1" customWidth="1"/>
    <col min="5" max="6" width="9.109375" style="36" hidden="1" customWidth="1"/>
    <col min="7" max="8" width="9.109375" hidden="1" customWidth="1"/>
    <col min="9" max="32" width="6.6640625" style="36" hidden="1" customWidth="1"/>
    <col min="33" max="33" width="11.109375" style="36" hidden="1" customWidth="1"/>
    <col min="34" max="34" width="6.6640625" style="36" hidden="1" customWidth="1"/>
    <col min="35" max="35" width="12.6640625" style="36" hidden="1" customWidth="1"/>
    <col min="36" max="41" width="9.109375" style="36" hidden="1" customWidth="1"/>
    <col min="42" max="52" width="0" hidden="1" customWidth="1"/>
  </cols>
  <sheetData>
    <row r="1" spans="1:53" ht="30" x14ac:dyDescent="0.5">
      <c r="A1" s="287" t="str">
        <f>CONCATENATE([1]List1!$A$96)</f>
        <v>Výsledky v soutěži jednotlivců</v>
      </c>
      <c r="B1" s="287"/>
      <c r="C1" s="287"/>
    </row>
    <row r="3" spans="1:53" ht="15.6" x14ac:dyDescent="0.3">
      <c r="A3" s="16" t="str">
        <f>CONCATENATE([1]List1!$A$97)</f>
        <v>Soutěž:</v>
      </c>
      <c r="B3" s="17" t="str">
        <f>CONCATENATE('Vážní listina'!A2)</f>
        <v>4. ročník „O ZLATÉ JABLKO “</v>
      </c>
      <c r="E3" s="67"/>
      <c r="G3" s="36"/>
    </row>
    <row r="4" spans="1:53" ht="15.6" x14ac:dyDescent="0.3">
      <c r="A4" s="16" t="str">
        <f>CONCATENATE([1]List1!$A$3)</f>
        <v>Místo:</v>
      </c>
      <c r="B4" s="17" t="str">
        <f>CONCATENATE('Vážní listina'!D3)</f>
        <v>Jablunkov</v>
      </c>
      <c r="AD4" s="67">
        <f>E3</f>
        <v>0</v>
      </c>
      <c r="AG4" s="36">
        <f>G3</f>
        <v>0</v>
      </c>
    </row>
    <row r="5" spans="1:53" ht="15.6" x14ac:dyDescent="0.3">
      <c r="A5" s="16" t="str">
        <f>CONCATENATE([1]List1!$A$4)</f>
        <v>Datum:</v>
      </c>
      <c r="B5" s="17" t="str">
        <f>CONCATENATE('Vážní listina'!D4)</f>
        <v xml:space="preserve"> 27.1.2024 </v>
      </c>
      <c r="E5" s="67" t="str">
        <f>'Tabulka finále'!CD54</f>
        <v>výsledky</v>
      </c>
      <c r="G5" s="36">
        <f>'Tabulka finále'!CF53</f>
        <v>1</v>
      </c>
    </row>
    <row r="6" spans="1:53" ht="15.6" x14ac:dyDescent="0.3">
      <c r="A6" s="17"/>
      <c r="B6" s="17"/>
    </row>
    <row r="7" spans="1:53" ht="15.6" x14ac:dyDescent="0.3">
      <c r="A7" s="16" t="str">
        <f>CONCATENATE([1]List1!$A$5)</f>
        <v>Hmotnost:</v>
      </c>
      <c r="B7" s="17" t="str">
        <f>CONCATENATE(('Vážní listina'!F4)," ",'Vážní listina'!I4)</f>
        <v>A příp 39 kg v.s.</v>
      </c>
    </row>
    <row r="8" spans="1:53" ht="13.8" thickBot="1" x14ac:dyDescent="0.3">
      <c r="AC8" s="36" t="s">
        <v>10</v>
      </c>
      <c r="AD8" s="36" t="s">
        <v>11</v>
      </c>
      <c r="AG8" s="36" t="s">
        <v>15</v>
      </c>
    </row>
    <row r="9" spans="1:53" ht="20.100000000000001" customHeight="1" thickBot="1" x14ac:dyDescent="0.3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36" t="str">
        <f>A9</f>
        <v>pořadí</v>
      </c>
      <c r="F9" s="36" t="str">
        <f>'Tabulka finále'!D34</f>
        <v>los</v>
      </c>
      <c r="T9" s="288" t="s">
        <v>13</v>
      </c>
      <c r="U9" s="288"/>
      <c r="W9" s="288" t="s">
        <v>14</v>
      </c>
      <c r="X9" s="288"/>
      <c r="Z9" s="288" t="s">
        <v>1</v>
      </c>
      <c r="AA9" s="288"/>
      <c r="AC9" s="288" t="s">
        <v>3</v>
      </c>
      <c r="AD9" s="288"/>
      <c r="AG9" s="36" t="s">
        <v>6</v>
      </c>
      <c r="AI9" s="36" t="s">
        <v>4</v>
      </c>
      <c r="AJ9" s="36" t="s">
        <v>5</v>
      </c>
      <c r="AK9" s="36" t="s">
        <v>7</v>
      </c>
      <c r="AL9" s="36" t="s">
        <v>7</v>
      </c>
    </row>
    <row r="10" spans="1:53" ht="39.9" customHeight="1" x14ac:dyDescent="0.25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Novosadová Natália</v>
      </c>
      <c r="C10" s="20" t="str">
        <f>IF((IF(A10="","",(IF(F10="","",(INDEX('Vážní listina'!$E$7:$E$38,F10))))))=0,"",(IF(A10="","",(IF(F10="","",(INDEX('Vážní listina'!$E$7:$E$38,F10)))))))</f>
        <v>Nitra</v>
      </c>
      <c r="D10" s="36">
        <v>1</v>
      </c>
      <c r="E10" s="36">
        <f>IF($G$5=0,"",(A10))</f>
        <v>1</v>
      </c>
      <c r="F10" s="36">
        <f>IF('Tabulka kvalifikace'!$AE$7="",99,('Tabulka kvalifikace'!EU118))</f>
        <v>6</v>
      </c>
      <c r="I10" s="36">
        <f>'Tabulka kvalifikace'!D7</f>
        <v>1</v>
      </c>
      <c r="J10" s="36">
        <f>'Tabulka kvalifikace'!AE7</f>
        <v>3</v>
      </c>
      <c r="L10" s="136">
        <f>'Tabulka finále'!D10</f>
        <v>1</v>
      </c>
      <c r="M10" s="136" t="str">
        <f>'Tabulka finále'!Q10</f>
        <v>FII</v>
      </c>
      <c r="O10" s="36">
        <f>'Tabulka finále'!D36</f>
        <v>2</v>
      </c>
      <c r="P10" s="36">
        <f>'Tabulka finále'!K36</f>
        <v>5</v>
      </c>
      <c r="T10" s="36">
        <f>I10</f>
        <v>1</v>
      </c>
      <c r="U10" s="36">
        <f>J10</f>
        <v>3</v>
      </c>
      <c r="W10" s="36">
        <f>IF(T10=$L$10,$L$10,IF(T10=$L$11,$L$11,IF(T10=$L$12,$L$12,IF(T10=$L$13,$L$13,IF(T10=$L$14,$L$14,IF(T10=$L$15,$L$15,IF(T10=$L$16,$L$16,IF(T10=$L$17,$L$17,""))))))))</f>
        <v>1</v>
      </c>
      <c r="X10" s="36" t="str">
        <f>IF(T10=$L$10,$M$10,IF(T10=$L$11,$M$11,IF(T10=$L$12,$M$12,IF(T10=$L$13,$M$13,IF(T10=$L$14,$M$14,IF(T10=$L$15,$M$15,IF(T10=$L$16,$M$16,IF(T10=$L$17,$M$17,""))))))))</f>
        <v>FII</v>
      </c>
      <c r="Z10" s="36">
        <f>IF(T10=$O$10,$O$10,IF(T10=$O$11,$O$11,IF(T10=$O$12,$O$12,IF(T10=$O$13,$O$13,""))))</f>
        <v>1</v>
      </c>
      <c r="AA10" s="36">
        <f>IF(T10=$O$10,$P$10,IF(T10=$O$11,$P$11,IF(T10=$O$12,$P$12,IF(T10=$O$13,$P$13,""))))</f>
        <v>3</v>
      </c>
      <c r="AC10" s="36">
        <f>T10</f>
        <v>1</v>
      </c>
      <c r="AD10" s="36">
        <f>IF(Z10="",(IF(W10="",(U10),X10)),AA10)</f>
        <v>3</v>
      </c>
      <c r="AG10" s="36">
        <f>IF(T10&lt;=$AG$4,((100+AD10)*100+AC10),19999)</f>
        <v>19999</v>
      </c>
      <c r="AI10" s="36">
        <f>IF(T10="",19999,(SMALL($AG$10:$AG$41,T10)))</f>
        <v>19999</v>
      </c>
      <c r="AJ10" s="36">
        <f>LEN(AI10)</f>
        <v>5</v>
      </c>
      <c r="AK10" s="36" t="str">
        <f>IF((VALUE(MID(AI10,AJ10-1,2)))=99,"",(VALUE(MID(AI10,AJ10-3,2))))</f>
        <v/>
      </c>
      <c r="AL10" s="36" t="str">
        <f>IF((VALUE(MID(AI10,AJ10-1,2)))=99,"",(VALUE(MID(AI10,AJ10-1,2))))</f>
        <v/>
      </c>
      <c r="BA10" s="36">
        <v>1</v>
      </c>
    </row>
    <row r="11" spans="1:53" ht="39.9" customHeight="1" x14ac:dyDescent="0.25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MÍSAŘ Filip</v>
      </c>
      <c r="C11" s="20" t="str">
        <f>IF((IF(A11="","",(IF(F11="","",(INDEX('Vážní listina'!$E$7:$E$38,F11))))))=0,"",(IF(A11="","",(IF(F11="","",(INDEX('Vážní listina'!$E$7:$E$38,F11)))))))</f>
        <v>H.Brod</v>
      </c>
      <c r="D11" s="36">
        <f>D10+1</f>
        <v>2</v>
      </c>
      <c r="E11" s="36">
        <f t="shared" ref="E11:E41" si="0">IF($G$5=0,"",(A11))</f>
        <v>2</v>
      </c>
      <c r="F11" s="36">
        <f>IF('Tabulka kvalifikace'!$AE$7="",99,('Tabulka kvalifikace'!EU119))</f>
        <v>3</v>
      </c>
      <c r="I11" s="36">
        <f>'Tabulka kvalifikace'!D9</f>
        <v>2</v>
      </c>
      <c r="J11" s="36">
        <f>'Tabulka kvalifikace'!AE9</f>
        <v>6</v>
      </c>
      <c r="L11" s="136">
        <f>'Tabulka finále'!D12</f>
        <v>2</v>
      </c>
      <c r="M11" s="136" t="str">
        <f>'Tabulka finále'!Q12</f>
        <v>FIII</v>
      </c>
      <c r="O11" s="36">
        <f>'Tabulka finále'!D38</f>
        <v>4</v>
      </c>
      <c r="P11" s="36">
        <f>'Tabulka finále'!K38</f>
        <v>6</v>
      </c>
      <c r="T11" s="36">
        <f t="shared" ref="T11:T41" si="1">I11</f>
        <v>2</v>
      </c>
      <c r="U11" s="36">
        <f t="shared" ref="U11:U41" si="2">J11</f>
        <v>6</v>
      </c>
      <c r="W11" s="36">
        <f>IF(T11=$L$10,$L$10,IF(T11=$L$11,$L$11,IF(T11=$L$12,$L$12,IF(T11=$L$13,$L$13,IF(T11=$L$14,$L$14,IF(T11=$L$15,$L$15,IF(T11=$L$16,$L$16,IF(T11=$L$17,$L$17,""))))))))</f>
        <v>2</v>
      </c>
      <c r="X11" s="36" t="str">
        <f>IF(T11=$L$10,$M$10,IF(T11=$L$11,$M$11,IF(T11=$L$12,$M$12,IF(T11=$L$13,$M$13,IF(T11=$L$14,$M$14,IF(T11=$L$15,$M$15,IF(T11=$L$16,$M$16,IF(T11=$L$17,$M$17,""))))))))</f>
        <v>FIII</v>
      </c>
      <c r="Z11" s="36">
        <f t="shared" ref="Z11:Z41" si="3">IF(T11=$O$10,$O$10,IF(T11=$O$11,$O$11,IF(T11=$O$12,$O$12,IF(T11=$O$13,$O$13,""))))</f>
        <v>2</v>
      </c>
      <c r="AA11" s="36">
        <f t="shared" ref="AA11:AA41" si="4">IF(T11=$O$10,$P$10,IF(T11=$O$11,$P$11,IF(T11=$O$12,$P$12,IF(T11=$O$13,$P$13,""))))</f>
        <v>5</v>
      </c>
      <c r="AC11" s="36">
        <f t="shared" ref="AC11:AC41" si="5">T11</f>
        <v>2</v>
      </c>
      <c r="AD11" s="36">
        <f t="shared" ref="AD11:AD41" si="6">IF(Z11="",(IF(W11="",(U11),X11)),AA11)</f>
        <v>5</v>
      </c>
      <c r="AG11" s="36">
        <f t="shared" ref="AG11:AG41" si="7">IF(T11&lt;=$AG$4,((100+AD11)*100+AC11),19999)</f>
        <v>19999</v>
      </c>
      <c r="AI11" s="36">
        <f t="shared" ref="AI11:AI41" si="8">IF(T11="",19999,(SMALL($AG$10:$AG$41,T11)))</f>
        <v>19999</v>
      </c>
      <c r="AJ11" s="36">
        <f t="shared" ref="AJ11:AJ41" si="9">LEN(AI11)</f>
        <v>5</v>
      </c>
      <c r="AK11" s="36" t="str">
        <f t="shared" ref="AK11:AK41" si="10">IF((VALUE(MID(AI11,AJ11-1,2)))=99,"",(VALUE(MID(AI11,AJ11-3,2))))</f>
        <v/>
      </c>
      <c r="AL11" s="36" t="str">
        <f t="shared" ref="AL11:AL41" si="11">IF((VALUE(MID(AI11,AJ11-1,2)))=99,"",(VALUE(MID(AI11,AJ11-1,2))))</f>
        <v/>
      </c>
      <c r="BA11" s="36">
        <f>BA10+1</f>
        <v>2</v>
      </c>
    </row>
    <row r="12" spans="1:53" ht="39.9" customHeight="1" x14ac:dyDescent="0.25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Bělohoubek Daniel</v>
      </c>
      <c r="C12" s="20" t="str">
        <f>IF((IF(A12="","",(IF(F12="","",(INDEX('Vážní listina'!$E$7:$E$38,F12))))))=0,"",(IF(A12="","",(IF(F12="","",(INDEX('Vážní listina'!$E$7:$E$38,F12)))))))</f>
        <v>Tichá</v>
      </c>
      <c r="D12" s="36">
        <f t="shared" ref="D12:D41" si="12">D11+1</f>
        <v>3</v>
      </c>
      <c r="E12" s="36">
        <f t="shared" si="0"/>
        <v>3</v>
      </c>
      <c r="F12" s="36">
        <f>IF('Tabulka kvalifikace'!$AE$7="",99,('Tabulka kvalifikace'!EU120))</f>
        <v>1</v>
      </c>
      <c r="I12" s="36">
        <f>'Tabulka kvalifikace'!D11</f>
        <v>3</v>
      </c>
      <c r="J12" s="36">
        <f>'Tabulka kvalifikace'!AE11</f>
        <v>2</v>
      </c>
      <c r="L12" s="136">
        <f>'Tabulka finále'!D14</f>
        <v>3</v>
      </c>
      <c r="M12" s="136" t="str">
        <f>'Tabulka finále'!Q14</f>
        <v>FI</v>
      </c>
      <c r="O12" s="36">
        <f>'Tabulka finále'!D46</f>
        <v>1</v>
      </c>
      <c r="P12" s="36">
        <f>'Tabulka finále'!K46</f>
        <v>3</v>
      </c>
      <c r="T12" s="36">
        <f t="shared" si="1"/>
        <v>3</v>
      </c>
      <c r="U12" s="36">
        <f t="shared" si="2"/>
        <v>2</v>
      </c>
      <c r="W12" s="36">
        <f>IF(T12=$L$10,$L$10,IF(T12=$L$11,$L$11,IF(T12=$L$12,$L$12,IF(T12=$L$13,$L$13,IF(T12=$L$14,$L$14,IF(T12=$L$15,$L$15,IF(T12=$L$16,$L$16,IF(T12=$L$17,$L$17,""))))))))</f>
        <v>3</v>
      </c>
      <c r="X12" s="36" t="str">
        <f>IF(T12=$L$10,$M$10,IF(T12=$L$11,$M$11,IF(T12=$L$12,$M$12,IF(T12=$L$13,$M$13,IF(T12=$L$14,$M$14,IF(T12=$L$15,$M$15,IF(T12=$L$16,$M$16,IF(T12=$L$17,$M$17,""))))))))</f>
        <v>FI</v>
      </c>
      <c r="Z12" s="36" t="str">
        <f t="shared" si="3"/>
        <v/>
      </c>
      <c r="AA12" s="36" t="str">
        <f t="shared" si="4"/>
        <v/>
      </c>
      <c r="AC12" s="36">
        <f t="shared" si="5"/>
        <v>3</v>
      </c>
      <c r="AD12" s="36" t="str">
        <f t="shared" si="6"/>
        <v>FI</v>
      </c>
      <c r="AG12" s="36">
        <f t="shared" si="7"/>
        <v>19999</v>
      </c>
      <c r="AI12" s="36">
        <f t="shared" si="8"/>
        <v>19999</v>
      </c>
      <c r="AJ12" s="36">
        <f t="shared" si="9"/>
        <v>5</v>
      </c>
      <c r="AK12" s="36" t="str">
        <f t="shared" si="10"/>
        <v/>
      </c>
      <c r="AL12" s="36" t="str">
        <f t="shared" si="11"/>
        <v/>
      </c>
      <c r="BA12" s="36">
        <f t="shared" ref="BA12:BA45" si="13">BA11+1</f>
        <v>3</v>
      </c>
    </row>
    <row r="13" spans="1:53" ht="39.9" customHeight="1" x14ac:dyDescent="0.25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Uhliarik Max</v>
      </c>
      <c r="C13" s="20" t="str">
        <f>IF((IF(A13="","",(IF(F13="","",(INDEX('Vážní listina'!$E$7:$E$38,F13))))))=0,"",(IF(A13="","",(IF(F13="","",(INDEX('Vážní listina'!$E$7:$E$38,F13)))))))</f>
        <v>Nitra</v>
      </c>
      <c r="D13" s="36">
        <f t="shared" si="12"/>
        <v>4</v>
      </c>
      <c r="E13" s="36">
        <f t="shared" si="0"/>
        <v>4</v>
      </c>
      <c r="F13" s="36">
        <f>IF('Tabulka kvalifikace'!$AE$7="",99,('Tabulka kvalifikace'!EU121))</f>
        <v>5</v>
      </c>
      <c r="I13" s="36" t="str">
        <f>'Tabulka kvalifikace'!D13</f>
        <v/>
      </c>
      <c r="J13" s="36" t="str">
        <f>'Tabulka kvalifikace'!AE13</f>
        <v/>
      </c>
      <c r="L13" s="136">
        <f>'Tabulka finále'!D16</f>
        <v>0</v>
      </c>
      <c r="M13" s="136" t="str">
        <f>'Tabulka finále'!Q16</f>
        <v/>
      </c>
      <c r="O13" s="36">
        <f>'Tabulka finále'!D48</f>
        <v>5</v>
      </c>
      <c r="P13" s="36">
        <f>'Tabulka finále'!K48</f>
        <v>4</v>
      </c>
      <c r="T13" s="36" t="str">
        <f t="shared" si="1"/>
        <v/>
      </c>
      <c r="U13" s="36" t="str">
        <f t="shared" si="2"/>
        <v/>
      </c>
      <c r="W13" s="36" t="str">
        <f>IF(T13=$L$10,$L$10,IF(T13=$L$11,$L$11,IF(T13=$L$12,$L$12,IF(T13=$L$13,$L$13,IF(T13=$L$14,$L$14,IF(T13=$L$15,$L$15,IF(T13=$L$16,$L$16,IF(T13=$L$17,$L$17,""))))))))</f>
        <v/>
      </c>
      <c r="X13" s="36" t="str">
        <f>IF(T13=$L$10,$M$10,IF(T13=$L$11,$M$11,IF(T13=$L$12,$M$12,IF(T13=$L$13,$M$13,IF(T13=$L$14,$M$14,IF(T13=$L$15,$M$15,IF(T13=$L$16,$M$16,IF(T13=$L$17,$M$17,""))))))))</f>
        <v/>
      </c>
      <c r="Z13" s="36" t="str">
        <f t="shared" si="3"/>
        <v/>
      </c>
      <c r="AA13" s="36" t="str">
        <f t="shared" si="4"/>
        <v/>
      </c>
      <c r="AC13" s="36" t="str">
        <f t="shared" si="5"/>
        <v/>
      </c>
      <c r="AD13" s="36" t="str">
        <f t="shared" si="6"/>
        <v/>
      </c>
      <c r="AG13" s="36">
        <f t="shared" si="7"/>
        <v>19999</v>
      </c>
      <c r="AI13" s="36">
        <f t="shared" si="8"/>
        <v>19999</v>
      </c>
      <c r="AJ13" s="36">
        <f t="shared" si="9"/>
        <v>5</v>
      </c>
      <c r="AK13" s="36" t="str">
        <f t="shared" si="10"/>
        <v/>
      </c>
      <c r="AL13" s="36" t="str">
        <f t="shared" si="11"/>
        <v/>
      </c>
      <c r="BA13" s="36">
        <f t="shared" si="13"/>
        <v>4</v>
      </c>
    </row>
    <row r="14" spans="1:53" ht="39.9" customHeight="1" x14ac:dyDescent="0.25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Jílek Filip</v>
      </c>
      <c r="C14" s="20" t="str">
        <f>IF((IF(A14="","",(IF(F14="","",(INDEX('Vážní listina'!$E$7:$E$38,F14))))))=0,"",(IF(A14="","",(IF(F14="","",(INDEX('Vážní listina'!$E$7:$E$38,F14)))))))</f>
        <v>Čech.</v>
      </c>
      <c r="D14" s="36">
        <f t="shared" si="12"/>
        <v>5</v>
      </c>
      <c r="E14" s="36">
        <f t="shared" si="0"/>
        <v>5</v>
      </c>
      <c r="F14" s="36">
        <f>IF('Tabulka kvalifikace'!$AE$7="",99,('Tabulka kvalifikace'!EU122))</f>
        <v>4</v>
      </c>
      <c r="I14" s="36" t="str">
        <f>'Tabulka kvalifikace'!D15</f>
        <v/>
      </c>
      <c r="J14" s="36" t="str">
        <f>'Tabulka kvalifikace'!AE15</f>
        <v/>
      </c>
      <c r="L14" s="136">
        <f>'Tabulka finále'!D22</f>
        <v>4</v>
      </c>
      <c r="M14" s="136" t="str">
        <f>'Tabulka finále'!Q22</f>
        <v>FIII</v>
      </c>
      <c r="T14" s="36" t="str">
        <f t="shared" si="1"/>
        <v/>
      </c>
      <c r="U14" s="36" t="str">
        <f t="shared" si="2"/>
        <v/>
      </c>
      <c r="W14" s="36" t="str">
        <f>IF(T14=$L$10,$L$10,IF(T14=$L$11,$L$11,IF(T14=$L$12,$L$12,IF(T14=$L$13,$L$13,IF(T14=$L$14,$L$14,IF(T14=$L$15,$L$15,IF(T14=$L$16,$L$16,IF(T14=$L$17,$L$17,""))))))))</f>
        <v/>
      </c>
      <c r="X14" s="36" t="str">
        <f>IF(T14=$L$10,$M$10,IF(T14=$L$11,$M$11,IF(T14=$L$12,$M$12,IF(T14=$L$13,$M$13,IF(T14=$L$14,$M$14,IF(T14=$L$15,$M$15,IF(T14=$L$16,$M$16,IF(T14=$L$17,$M$17,""))))))))</f>
        <v/>
      </c>
      <c r="Z14" s="36" t="str">
        <f t="shared" si="3"/>
        <v/>
      </c>
      <c r="AA14" s="36" t="str">
        <f t="shared" si="4"/>
        <v/>
      </c>
      <c r="AC14" s="36" t="str">
        <f t="shared" si="5"/>
        <v/>
      </c>
      <c r="AD14" s="36" t="str">
        <f t="shared" si="6"/>
        <v/>
      </c>
      <c r="AG14" s="36">
        <f t="shared" si="7"/>
        <v>19999</v>
      </c>
      <c r="AI14" s="36">
        <f t="shared" si="8"/>
        <v>19999</v>
      </c>
      <c r="AJ14" s="36">
        <f t="shared" si="9"/>
        <v>5</v>
      </c>
      <c r="AK14" s="36" t="str">
        <f t="shared" si="10"/>
        <v/>
      </c>
      <c r="AL14" s="36" t="str">
        <f t="shared" si="11"/>
        <v/>
      </c>
      <c r="BA14" s="36">
        <f t="shared" si="13"/>
        <v>5</v>
      </c>
    </row>
    <row r="15" spans="1:53" ht="39.9" customHeight="1" x14ac:dyDescent="0.25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 xml:space="preserve">Jabłońska Natasza </v>
      </c>
      <c r="C15" s="20" t="str">
        <f>IF((IF(A15="","",(IF(F15="","",(INDEX('Vážní listina'!$E$7:$E$38,F15))))))=0,"",(IF(A15="","",(IF(F15="","",(INDEX('Vážní listina'!$E$7:$E$38,F15)))))))</f>
        <v>ULSK</v>
      </c>
      <c r="D15" s="36">
        <f t="shared" si="12"/>
        <v>6</v>
      </c>
      <c r="E15" s="36">
        <f>IF($G$5=0,"",(A15))</f>
        <v>6</v>
      </c>
      <c r="F15" s="36">
        <f>IF('Tabulka kvalifikace'!$AE$7="",99,('Tabulka kvalifikace'!EU123))</f>
        <v>2</v>
      </c>
      <c r="I15" s="36" t="str">
        <f>'Tabulka kvalifikace'!D17</f>
        <v/>
      </c>
      <c r="J15" s="36" t="str">
        <f>'Tabulka kvalifikace'!AE17</f>
        <v/>
      </c>
      <c r="L15" s="136">
        <f>'Tabulka finále'!D24</f>
        <v>5</v>
      </c>
      <c r="M15" s="136" t="str">
        <f>'Tabulka finále'!Q24</f>
        <v>FII</v>
      </c>
      <c r="T15" s="36" t="str">
        <f t="shared" si="1"/>
        <v/>
      </c>
      <c r="U15" s="36" t="str">
        <f t="shared" si="2"/>
        <v/>
      </c>
      <c r="W15" s="36" t="str">
        <f t="shared" ref="W15:W41" si="14">IF(T15=$L$10,$L$10,IF(T15=$L$11,$L$11,IF(T15=$L$12,$L$12,IF(T15=$L$13,$L$13,IF(T15=$L$14,$L$14,IF(T15=$L$15,$L$15,IF(T15=$L$16,$L$16,IF(T15=$L$17,$L$17,""))))))))</f>
        <v/>
      </c>
      <c r="X15" s="36" t="str">
        <f t="shared" ref="X15:X41" si="15">IF(T15=$L$10,$M$10,IF(T15=$L$11,$M$11,IF(T15=$L$12,$M$12,IF(T15=$L$13,$M$13,IF(T15=$L$14,$M$14,IF(T15=$L$15,$M$15,IF(T15=$L$16,$M$16,IF(T15=$L$17,$M$17,""))))))))</f>
        <v/>
      </c>
      <c r="Z15" s="36" t="str">
        <f t="shared" si="3"/>
        <v/>
      </c>
      <c r="AA15" s="36" t="str">
        <f t="shared" si="4"/>
        <v/>
      </c>
      <c r="AC15" s="36" t="str">
        <f t="shared" si="5"/>
        <v/>
      </c>
      <c r="AD15" s="36" t="str">
        <f t="shared" si="6"/>
        <v/>
      </c>
      <c r="AG15" s="36">
        <f t="shared" si="7"/>
        <v>19999</v>
      </c>
      <c r="AI15" s="36">
        <f t="shared" si="8"/>
        <v>19999</v>
      </c>
      <c r="AJ15" s="36">
        <f t="shared" si="9"/>
        <v>5</v>
      </c>
      <c r="AK15" s="36" t="str">
        <f t="shared" si="10"/>
        <v/>
      </c>
      <c r="AL15" s="36" t="str">
        <f t="shared" si="11"/>
        <v/>
      </c>
      <c r="BA15" s="36">
        <f t="shared" si="13"/>
        <v>6</v>
      </c>
    </row>
    <row r="16" spans="1:53" ht="39.9" customHeight="1" x14ac:dyDescent="0.25">
      <c r="A16" s="18" t="str">
        <f>IF('Tabulka kvalifikace'!$AC$5="x",(IF(F16=99,"",('Tabulka kvalifikace'!ET124))),"")</f>
        <v/>
      </c>
      <c r="B16" s="19" t="str">
        <f>IF((IF(A16="","",(IF(F16="","",(INDEX('Vážní listina'!$D$7:$D$38,F16))))))=0,"",(IF(A16="","",(IF(F16="","",(INDEX('Vážní listina'!$D$7:$D$38,F16)))))))</f>
        <v/>
      </c>
      <c r="C16" s="20" t="str">
        <f>IF((IF(A16="","",(IF(F16="","",(INDEX('Vážní listina'!$E$7:$E$38,F16))))))=0,"",(IF(A16="","",(IF(F16="","",(INDEX('Vážní listina'!$E$7:$E$38,F16)))))))</f>
        <v/>
      </c>
      <c r="D16" s="36">
        <f t="shared" si="12"/>
        <v>7</v>
      </c>
      <c r="E16" s="36" t="str">
        <f t="shared" si="0"/>
        <v/>
      </c>
      <c r="F16" s="36">
        <f>IF('Tabulka kvalifikace'!$AE$7="",99,('Tabulka kvalifikace'!EU124))</f>
        <v>99</v>
      </c>
      <c r="I16" s="36" t="str">
        <f>'Tabulka kvalifikace'!D19</f>
        <v/>
      </c>
      <c r="J16" s="36" t="str">
        <f>'Tabulka kvalifikace'!AE19</f>
        <v/>
      </c>
      <c r="L16" s="136">
        <f>'Tabulka finále'!D26</f>
        <v>6</v>
      </c>
      <c r="M16" s="136" t="str">
        <f>'Tabulka finále'!Q26</f>
        <v>FI</v>
      </c>
      <c r="T16" s="36" t="str">
        <f t="shared" si="1"/>
        <v/>
      </c>
      <c r="U16" s="36" t="str">
        <f t="shared" si="2"/>
        <v/>
      </c>
      <c r="W16" s="36" t="str">
        <f t="shared" si="14"/>
        <v/>
      </c>
      <c r="X16" s="36" t="str">
        <f t="shared" si="15"/>
        <v/>
      </c>
      <c r="Z16" s="36" t="str">
        <f t="shared" si="3"/>
        <v/>
      </c>
      <c r="AA16" s="36" t="str">
        <f t="shared" si="4"/>
        <v/>
      </c>
      <c r="AC16" s="36" t="str">
        <f t="shared" si="5"/>
        <v/>
      </c>
      <c r="AD16" s="36" t="str">
        <f t="shared" si="6"/>
        <v/>
      </c>
      <c r="AG16" s="36">
        <f t="shared" si="7"/>
        <v>19999</v>
      </c>
      <c r="AI16" s="36">
        <f t="shared" si="8"/>
        <v>19999</v>
      </c>
      <c r="AJ16" s="36">
        <f t="shared" si="9"/>
        <v>5</v>
      </c>
      <c r="AK16" s="36" t="str">
        <f t="shared" si="10"/>
        <v/>
      </c>
      <c r="AL16" s="36" t="str">
        <f t="shared" si="11"/>
        <v/>
      </c>
      <c r="BA16" s="36">
        <f t="shared" si="13"/>
        <v>7</v>
      </c>
    </row>
    <row r="17" spans="1:53" ht="39.9" customHeight="1" x14ac:dyDescent="0.25">
      <c r="A17" s="18" t="str">
        <f>IF('Tabulka kvalifikace'!$AC$5="x",(IF(F17=99,"",('Tabulka kvalifikace'!ET125))),"")</f>
        <v/>
      </c>
      <c r="B17" s="19" t="str">
        <f>IF((IF(A17="","",(IF(F17="","",(INDEX('Vážní listina'!$D$7:$D$38,F17))))))=0,"",(IF(A17="","",(IF(F17="","",(INDEX('Vážní listina'!$D$7:$D$38,F17)))))))</f>
        <v/>
      </c>
      <c r="C17" s="20" t="str">
        <f>IF((IF(A17="","",(IF(F17="","",(INDEX('Vážní listina'!$E$7:$E$38,F17))))))=0,"",(IF(A17="","",(IF(F17="","",(INDEX('Vážní listina'!$E$7:$E$38,F17)))))))</f>
        <v/>
      </c>
      <c r="D17" s="36">
        <f t="shared" si="12"/>
        <v>8</v>
      </c>
      <c r="E17" s="36" t="str">
        <f t="shared" si="0"/>
        <v/>
      </c>
      <c r="F17" s="36">
        <f>IF('Tabulka kvalifikace'!$AE$7="",99,('Tabulka kvalifikace'!EU125))</f>
        <v>99</v>
      </c>
      <c r="I17" s="36" t="str">
        <f>'Tabulka kvalifikace'!D21</f>
        <v/>
      </c>
      <c r="J17" s="36" t="str">
        <f>'Tabulka kvalifikace'!AE21</f>
        <v/>
      </c>
      <c r="L17" s="136">
        <f>'Tabulka finále'!D28</f>
        <v>0</v>
      </c>
      <c r="M17" s="136" t="str">
        <f>'Tabulka finále'!Q28</f>
        <v/>
      </c>
      <c r="T17" s="36" t="str">
        <f t="shared" si="1"/>
        <v/>
      </c>
      <c r="U17" s="36" t="str">
        <f t="shared" si="2"/>
        <v/>
      </c>
      <c r="W17" s="36" t="str">
        <f t="shared" si="14"/>
        <v/>
      </c>
      <c r="X17" s="36" t="str">
        <f t="shared" si="15"/>
        <v/>
      </c>
      <c r="Z17" s="36" t="str">
        <f t="shared" si="3"/>
        <v/>
      </c>
      <c r="AA17" s="36" t="str">
        <f t="shared" si="4"/>
        <v/>
      </c>
      <c r="AC17" s="36" t="str">
        <f t="shared" si="5"/>
        <v/>
      </c>
      <c r="AD17" s="36" t="str">
        <f t="shared" si="6"/>
        <v/>
      </c>
      <c r="AG17" s="36">
        <f t="shared" si="7"/>
        <v>19999</v>
      </c>
      <c r="AI17" s="36">
        <f t="shared" si="8"/>
        <v>19999</v>
      </c>
      <c r="AJ17" s="36">
        <f t="shared" si="9"/>
        <v>5</v>
      </c>
      <c r="AK17" s="36" t="str">
        <f t="shared" si="10"/>
        <v/>
      </c>
      <c r="AL17" s="36" t="str">
        <f t="shared" si="11"/>
        <v/>
      </c>
      <c r="BA17" s="36">
        <f t="shared" si="13"/>
        <v>8</v>
      </c>
    </row>
    <row r="18" spans="1:53" ht="39.9" customHeight="1" x14ac:dyDescent="0.25">
      <c r="A18" s="18" t="str">
        <f>IF('Tabulka kvalifikace'!$AC$5="x",(IF(F18=99,"",('Tabulka kvalifikace'!ET126))),"")</f>
        <v/>
      </c>
      <c r="B18" s="19" t="str">
        <f>IF((IF(A18="","",(IF(F18="","",(INDEX('Vážní listina'!$D$7:$D$38,F18))))))=0,"",(IF(A18="","",(IF(F18="","",(INDEX('Vážní listina'!$D$7:$D$38,F18)))))))</f>
        <v/>
      </c>
      <c r="C18" s="20" t="str">
        <f>IF((IF(A18="","",(IF(F18="","",(INDEX('Vážní listina'!$E$7:$E$38,F18))))))=0,"",(IF(A18="","",(IF(F18="","",(INDEX('Vážní listina'!$E$7:$E$38,F18)))))))</f>
        <v/>
      </c>
      <c r="D18" s="36">
        <f t="shared" si="12"/>
        <v>9</v>
      </c>
      <c r="E18" s="36" t="str">
        <f t="shared" si="0"/>
        <v/>
      </c>
      <c r="F18" s="36">
        <f>IF('Tabulka kvalifikace'!$AE$7="",99,('Tabulka kvalifikace'!EU126))</f>
        <v>99</v>
      </c>
      <c r="I18" s="36" t="str">
        <f>'Tabulka kvalifikace'!D23</f>
        <v/>
      </c>
      <c r="J18" s="36" t="str">
        <f>'Tabulka kvalifikace'!AE23</f>
        <v/>
      </c>
      <c r="T18" s="36" t="str">
        <f t="shared" si="1"/>
        <v/>
      </c>
      <c r="U18" s="36" t="str">
        <f t="shared" si="2"/>
        <v/>
      </c>
      <c r="W18" s="36" t="str">
        <f t="shared" si="14"/>
        <v/>
      </c>
      <c r="X18" s="36" t="str">
        <f t="shared" si="15"/>
        <v/>
      </c>
      <c r="Z18" s="36" t="str">
        <f t="shared" si="3"/>
        <v/>
      </c>
      <c r="AA18" s="36" t="str">
        <f t="shared" si="4"/>
        <v/>
      </c>
      <c r="AC18" s="36" t="str">
        <f t="shared" si="5"/>
        <v/>
      </c>
      <c r="AD18" s="36" t="str">
        <f t="shared" si="6"/>
        <v/>
      </c>
      <c r="AG18" s="36">
        <f t="shared" si="7"/>
        <v>19999</v>
      </c>
      <c r="AI18" s="36">
        <f t="shared" si="8"/>
        <v>19999</v>
      </c>
      <c r="AJ18" s="36">
        <f t="shared" si="9"/>
        <v>5</v>
      </c>
      <c r="AK18" s="36" t="str">
        <f t="shared" si="10"/>
        <v/>
      </c>
      <c r="AL18" s="36" t="str">
        <f t="shared" si="11"/>
        <v/>
      </c>
      <c r="BA18" s="36">
        <f t="shared" si="13"/>
        <v>9</v>
      </c>
    </row>
    <row r="19" spans="1:53" ht="39.9" customHeight="1" x14ac:dyDescent="0.25">
      <c r="A19" s="18" t="str">
        <f>IF('Tabulka kvalifikace'!$AC$5="x",(IF(F19=99,"",('Tabulka kvalifikace'!ET127))),"")</f>
        <v/>
      </c>
      <c r="B19" s="19" t="str">
        <f>IF((IF(A19="","",(IF(F19="","",(INDEX('Vážní listina'!$D$7:$D$38,F19))))))=0,"",(IF(A19="","",(IF(F19="","",(INDEX('Vážní listina'!$D$7:$D$38,F19)))))))</f>
        <v/>
      </c>
      <c r="C19" s="20" t="str">
        <f>IF((IF(A19="","",(IF(F19="","",(INDEX('Vážní listina'!$E$7:$E$38,F19))))))=0,"",(IF(A19="","",(IF(F19="","",(INDEX('Vážní listina'!$E$7:$E$38,F19)))))))</f>
        <v/>
      </c>
      <c r="D19" s="36">
        <f t="shared" si="12"/>
        <v>10</v>
      </c>
      <c r="E19" s="36" t="str">
        <f t="shared" si="0"/>
        <v/>
      </c>
      <c r="F19" s="36">
        <f>IF('Tabulka kvalifikace'!$AE$7="",99,('Tabulka kvalifikace'!EU127))</f>
        <v>99</v>
      </c>
      <c r="I19" s="36" t="str">
        <f>'Tabulka kvalifikace'!D25</f>
        <v/>
      </c>
      <c r="J19" s="36" t="str">
        <f>'Tabulka kvalifikace'!AE25</f>
        <v/>
      </c>
      <c r="T19" s="36" t="str">
        <f t="shared" si="1"/>
        <v/>
      </c>
      <c r="U19" s="36" t="str">
        <f t="shared" si="2"/>
        <v/>
      </c>
      <c r="W19" s="36" t="str">
        <f t="shared" si="14"/>
        <v/>
      </c>
      <c r="X19" s="36" t="str">
        <f t="shared" si="15"/>
        <v/>
      </c>
      <c r="Z19" s="36" t="str">
        <f t="shared" si="3"/>
        <v/>
      </c>
      <c r="AA19" s="36" t="str">
        <f t="shared" si="4"/>
        <v/>
      </c>
      <c r="AC19" s="36" t="str">
        <f t="shared" si="5"/>
        <v/>
      </c>
      <c r="AD19" s="36" t="str">
        <f t="shared" si="6"/>
        <v/>
      </c>
      <c r="AG19" s="36">
        <f t="shared" si="7"/>
        <v>19999</v>
      </c>
      <c r="AI19" s="36">
        <f t="shared" si="8"/>
        <v>19999</v>
      </c>
      <c r="AJ19" s="36">
        <f t="shared" si="9"/>
        <v>5</v>
      </c>
      <c r="AK19" s="36" t="str">
        <f t="shared" si="10"/>
        <v/>
      </c>
      <c r="AL19" s="36" t="str">
        <f t="shared" si="11"/>
        <v/>
      </c>
      <c r="BA19" s="36">
        <f t="shared" si="13"/>
        <v>10</v>
      </c>
    </row>
    <row r="20" spans="1:53" ht="39.9" customHeight="1" x14ac:dyDescent="0.25">
      <c r="A20" s="18" t="str">
        <f>IF('Tabulka kvalifikace'!$AC$5="x",(IF(F20=99,"",('Tabulka kvalifikace'!ET128))),"")</f>
        <v/>
      </c>
      <c r="B20" s="19" t="str">
        <f>IF((IF(A20="","",(IF(F20="","",(INDEX('Vážní listina'!$D$7:$D$38,F20))))))=0,"",(IF(A20="","",(IF(F20="","",(INDEX('Vážní listina'!$D$7:$D$38,F20)))))))</f>
        <v/>
      </c>
      <c r="C20" s="20" t="str">
        <f>IF((IF(A20="","",(IF(F20="","",(INDEX('Vážní listina'!$E$7:$E$38,F20))))))=0,"",(IF(A20="","",(IF(F20="","",(INDEX('Vážní listina'!$E$7:$E$38,F20)))))))</f>
        <v/>
      </c>
      <c r="D20" s="36">
        <f t="shared" si="12"/>
        <v>11</v>
      </c>
      <c r="E20" s="36" t="str">
        <f t="shared" si="0"/>
        <v/>
      </c>
      <c r="F20" s="36">
        <f>IF('Tabulka kvalifikace'!$AE$7="",99,('Tabulka kvalifikace'!EU128))</f>
        <v>99</v>
      </c>
      <c r="I20" s="36" t="str">
        <f>'Tabulka kvalifikace'!D27</f>
        <v/>
      </c>
      <c r="J20" s="36" t="str">
        <f>'Tabulka kvalifikace'!AE27</f>
        <v/>
      </c>
      <c r="T20" s="36" t="str">
        <f t="shared" si="1"/>
        <v/>
      </c>
      <c r="U20" s="36" t="str">
        <f t="shared" si="2"/>
        <v/>
      </c>
      <c r="W20" s="36" t="str">
        <f t="shared" si="14"/>
        <v/>
      </c>
      <c r="X20" s="36" t="str">
        <f t="shared" si="15"/>
        <v/>
      </c>
      <c r="Z20" s="36" t="str">
        <f t="shared" si="3"/>
        <v/>
      </c>
      <c r="AA20" s="36" t="str">
        <f t="shared" si="4"/>
        <v/>
      </c>
      <c r="AC20" s="36" t="str">
        <f t="shared" si="5"/>
        <v/>
      </c>
      <c r="AD20" s="36" t="str">
        <f t="shared" si="6"/>
        <v/>
      </c>
      <c r="AG20" s="36">
        <f t="shared" si="7"/>
        <v>19999</v>
      </c>
      <c r="AI20" s="36">
        <f t="shared" si="8"/>
        <v>19999</v>
      </c>
      <c r="AJ20" s="36">
        <f t="shared" si="9"/>
        <v>5</v>
      </c>
      <c r="AK20" s="36" t="str">
        <f t="shared" si="10"/>
        <v/>
      </c>
      <c r="AL20" s="36" t="str">
        <f t="shared" si="11"/>
        <v/>
      </c>
      <c r="BA20" s="36">
        <f t="shared" si="13"/>
        <v>11</v>
      </c>
    </row>
    <row r="21" spans="1:53" ht="39.9" customHeight="1" x14ac:dyDescent="0.25">
      <c r="A21" s="18" t="str">
        <f>IF('Tabulka kvalifikace'!$AC$5="x",(IF(F21=99,"",('Tabulka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36">
        <f t="shared" si="12"/>
        <v>12</v>
      </c>
      <c r="E21" s="36" t="str">
        <f t="shared" si="0"/>
        <v/>
      </c>
      <c r="F21" s="36">
        <f>IF('Tabulka kvalifikace'!$AE$7="",99,('Tabulka kvalifikace'!EU129))</f>
        <v>99</v>
      </c>
      <c r="I21" s="36" t="str">
        <f>'Tabulka kvalifikace'!D29</f>
        <v/>
      </c>
      <c r="J21" s="36" t="str">
        <f>'Tabulka kvalifikace'!AE29</f>
        <v/>
      </c>
      <c r="T21" s="36" t="str">
        <f t="shared" si="1"/>
        <v/>
      </c>
      <c r="U21" s="36" t="str">
        <f t="shared" si="2"/>
        <v/>
      </c>
      <c r="W21" s="36" t="str">
        <f t="shared" si="14"/>
        <v/>
      </c>
      <c r="X21" s="36" t="str">
        <f t="shared" si="15"/>
        <v/>
      </c>
      <c r="Z21" s="36" t="str">
        <f t="shared" si="3"/>
        <v/>
      </c>
      <c r="AA21" s="36" t="str">
        <f t="shared" si="4"/>
        <v/>
      </c>
      <c r="AC21" s="36" t="str">
        <f t="shared" si="5"/>
        <v/>
      </c>
      <c r="AD21" s="36" t="str">
        <f t="shared" si="6"/>
        <v/>
      </c>
      <c r="AG21" s="36">
        <f t="shared" si="7"/>
        <v>19999</v>
      </c>
      <c r="AI21" s="36">
        <f t="shared" si="8"/>
        <v>19999</v>
      </c>
      <c r="AJ21" s="36">
        <f t="shared" si="9"/>
        <v>5</v>
      </c>
      <c r="AK21" s="36" t="str">
        <f t="shared" si="10"/>
        <v/>
      </c>
      <c r="AL21" s="36" t="str">
        <f t="shared" si="11"/>
        <v/>
      </c>
      <c r="BA21" s="36">
        <f t="shared" si="13"/>
        <v>12</v>
      </c>
    </row>
    <row r="22" spans="1:53" ht="39.9" customHeight="1" x14ac:dyDescent="0.25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36">
        <f t="shared" si="12"/>
        <v>13</v>
      </c>
      <c r="E22" s="36" t="str">
        <f t="shared" si="0"/>
        <v/>
      </c>
      <c r="F22" s="36">
        <f>IF('Tabulka kvalifikace'!$AE$7="",99,('Tabulka kvalifikace'!EU130))</f>
        <v>99</v>
      </c>
      <c r="I22" s="36" t="str">
        <f>'Tabulka kvalifikace'!D31</f>
        <v/>
      </c>
      <c r="J22" s="36" t="str">
        <f>'Tabulka kvalifikace'!AE31</f>
        <v/>
      </c>
      <c r="T22" s="36" t="str">
        <f t="shared" si="1"/>
        <v/>
      </c>
      <c r="U22" s="36" t="str">
        <f t="shared" si="2"/>
        <v/>
      </c>
      <c r="W22" s="36" t="str">
        <f t="shared" si="14"/>
        <v/>
      </c>
      <c r="X22" s="36" t="str">
        <f t="shared" si="15"/>
        <v/>
      </c>
      <c r="Z22" s="36" t="str">
        <f t="shared" si="3"/>
        <v/>
      </c>
      <c r="AA22" s="36" t="str">
        <f t="shared" si="4"/>
        <v/>
      </c>
      <c r="AC22" s="36" t="str">
        <f t="shared" si="5"/>
        <v/>
      </c>
      <c r="AD22" s="36" t="str">
        <f t="shared" si="6"/>
        <v/>
      </c>
      <c r="AG22" s="36">
        <f t="shared" si="7"/>
        <v>19999</v>
      </c>
      <c r="AI22" s="36">
        <f t="shared" si="8"/>
        <v>19999</v>
      </c>
      <c r="AJ22" s="36">
        <f t="shared" si="9"/>
        <v>5</v>
      </c>
      <c r="AK22" s="36" t="str">
        <f t="shared" si="10"/>
        <v/>
      </c>
      <c r="AL22" s="36" t="str">
        <f t="shared" si="11"/>
        <v/>
      </c>
      <c r="BA22" s="36">
        <f t="shared" si="13"/>
        <v>13</v>
      </c>
    </row>
    <row r="23" spans="1:53" ht="39.9" customHeight="1" x14ac:dyDescent="0.25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36">
        <f t="shared" si="12"/>
        <v>14</v>
      </c>
      <c r="E23" s="36" t="str">
        <f t="shared" si="0"/>
        <v/>
      </c>
      <c r="F23" s="36">
        <f>IF('Tabulka kvalifikace'!$AE$7="",99,('Tabulka kvalifikace'!EU131))</f>
        <v>99</v>
      </c>
      <c r="I23" s="36" t="str">
        <f>'Tabulka kvalifikace'!D33</f>
        <v/>
      </c>
      <c r="J23" s="36" t="str">
        <f>'Tabulka kvalifikace'!AE33</f>
        <v/>
      </c>
      <c r="T23" s="36" t="str">
        <f t="shared" si="1"/>
        <v/>
      </c>
      <c r="U23" s="36" t="str">
        <f t="shared" si="2"/>
        <v/>
      </c>
      <c r="W23" s="36" t="str">
        <f t="shared" si="14"/>
        <v/>
      </c>
      <c r="X23" s="36" t="str">
        <f t="shared" si="15"/>
        <v/>
      </c>
      <c r="Z23" s="36" t="str">
        <f t="shared" si="3"/>
        <v/>
      </c>
      <c r="AA23" s="36" t="str">
        <f t="shared" si="4"/>
        <v/>
      </c>
      <c r="AC23" s="36" t="str">
        <f t="shared" si="5"/>
        <v/>
      </c>
      <c r="AD23" s="36" t="str">
        <f t="shared" si="6"/>
        <v/>
      </c>
      <c r="AG23" s="36">
        <f t="shared" si="7"/>
        <v>19999</v>
      </c>
      <c r="AI23" s="36">
        <f t="shared" si="8"/>
        <v>19999</v>
      </c>
      <c r="AJ23" s="36">
        <f t="shared" si="9"/>
        <v>5</v>
      </c>
      <c r="AK23" s="36" t="str">
        <f t="shared" si="10"/>
        <v/>
      </c>
      <c r="AL23" s="36" t="str">
        <f t="shared" si="11"/>
        <v/>
      </c>
      <c r="BA23" s="36">
        <f t="shared" si="13"/>
        <v>14</v>
      </c>
    </row>
    <row r="24" spans="1:53" ht="39.9" customHeight="1" x14ac:dyDescent="0.25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36">
        <f t="shared" si="12"/>
        <v>15</v>
      </c>
      <c r="E24" s="36" t="str">
        <f t="shared" si="0"/>
        <v/>
      </c>
      <c r="F24" s="36">
        <f>IF('Tabulka kvalifikace'!$AE$7="",99,('Tabulka kvalifikace'!EU132))</f>
        <v>99</v>
      </c>
      <c r="I24" s="36" t="str">
        <f>'Tabulka kvalifikace'!D35</f>
        <v/>
      </c>
      <c r="J24" s="36" t="str">
        <f>'Tabulka kvalifikace'!AE35</f>
        <v/>
      </c>
      <c r="T24" s="36" t="str">
        <f t="shared" si="1"/>
        <v/>
      </c>
      <c r="U24" s="36" t="str">
        <f t="shared" si="2"/>
        <v/>
      </c>
      <c r="W24" s="36" t="str">
        <f t="shared" si="14"/>
        <v/>
      </c>
      <c r="X24" s="36" t="str">
        <f t="shared" si="15"/>
        <v/>
      </c>
      <c r="Z24" s="36" t="str">
        <f t="shared" si="3"/>
        <v/>
      </c>
      <c r="AA24" s="36" t="str">
        <f t="shared" si="4"/>
        <v/>
      </c>
      <c r="AC24" s="36" t="str">
        <f t="shared" si="5"/>
        <v/>
      </c>
      <c r="AD24" s="36" t="str">
        <f t="shared" si="6"/>
        <v/>
      </c>
      <c r="AG24" s="36">
        <f t="shared" si="7"/>
        <v>19999</v>
      </c>
      <c r="AI24" s="36">
        <f t="shared" si="8"/>
        <v>19999</v>
      </c>
      <c r="AJ24" s="36">
        <f t="shared" si="9"/>
        <v>5</v>
      </c>
      <c r="AK24" s="36" t="str">
        <f t="shared" si="10"/>
        <v/>
      </c>
      <c r="AL24" s="36" t="str">
        <f t="shared" si="11"/>
        <v/>
      </c>
      <c r="BA24" s="36">
        <f t="shared" si="13"/>
        <v>15</v>
      </c>
    </row>
    <row r="25" spans="1:53" ht="39.9" customHeight="1" thickBot="1" x14ac:dyDescent="0.3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36">
        <f t="shared" si="12"/>
        <v>16</v>
      </c>
      <c r="E25" s="36" t="str">
        <f t="shared" si="0"/>
        <v/>
      </c>
      <c r="F25" s="36">
        <f>IF('Tabulka kvalifikace'!$AE$7="",99,('Tabulka kvalifikace'!EU133))</f>
        <v>99</v>
      </c>
      <c r="I25" s="36" t="str">
        <f>'Tabulka kvalifikace'!D37</f>
        <v/>
      </c>
      <c r="J25" s="36" t="str">
        <f>'Tabulka kvalifikace'!AE37</f>
        <v/>
      </c>
      <c r="T25" s="36" t="str">
        <f t="shared" si="1"/>
        <v/>
      </c>
      <c r="U25" s="36" t="str">
        <f t="shared" si="2"/>
        <v/>
      </c>
      <c r="W25" s="36" t="str">
        <f t="shared" si="14"/>
        <v/>
      </c>
      <c r="X25" s="36" t="str">
        <f t="shared" si="15"/>
        <v/>
      </c>
      <c r="Z25" s="36" t="str">
        <f t="shared" si="3"/>
        <v/>
      </c>
      <c r="AA25" s="36" t="str">
        <f t="shared" si="4"/>
        <v/>
      </c>
      <c r="AC25" s="36" t="str">
        <f t="shared" si="5"/>
        <v/>
      </c>
      <c r="AD25" s="36" t="str">
        <f t="shared" si="6"/>
        <v/>
      </c>
      <c r="AG25" s="36">
        <f t="shared" si="7"/>
        <v>19999</v>
      </c>
      <c r="AI25" s="36">
        <f t="shared" si="8"/>
        <v>19999</v>
      </c>
      <c r="AJ25" s="36">
        <f t="shared" si="9"/>
        <v>5</v>
      </c>
      <c r="AK25" s="36" t="str">
        <f t="shared" si="10"/>
        <v/>
      </c>
      <c r="AL25" s="36" t="str">
        <f t="shared" si="11"/>
        <v/>
      </c>
      <c r="BA25" s="36">
        <f t="shared" si="13"/>
        <v>16</v>
      </c>
    </row>
    <row r="26" spans="1:53" ht="39.9" hidden="1" customHeight="1" x14ac:dyDescent="0.25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36">
        <f t="shared" si="12"/>
        <v>17</v>
      </c>
      <c r="E26" s="36" t="str">
        <f t="shared" si="0"/>
        <v/>
      </c>
      <c r="F26" s="36">
        <f>IF('Tabulka kvalifikace'!$AE$7="",99,('Tabulka kvalifikace'!EU134))</f>
        <v>99</v>
      </c>
      <c r="I26" s="36">
        <f>'Tabulka kvalifikace'!D40</f>
        <v>4</v>
      </c>
      <c r="J26" s="36">
        <f>'Tabulka kvalifikace'!AE40</f>
        <v>5</v>
      </c>
      <c r="T26" s="36">
        <f t="shared" si="1"/>
        <v>4</v>
      </c>
      <c r="U26" s="36">
        <f t="shared" si="2"/>
        <v>5</v>
      </c>
      <c r="W26" s="36">
        <f t="shared" si="14"/>
        <v>4</v>
      </c>
      <c r="X26" s="36" t="str">
        <f t="shared" si="15"/>
        <v>FIII</v>
      </c>
      <c r="Z26" s="36">
        <f t="shared" si="3"/>
        <v>4</v>
      </c>
      <c r="AA26" s="36">
        <f t="shared" si="4"/>
        <v>6</v>
      </c>
      <c r="AC26" s="36">
        <f t="shared" si="5"/>
        <v>4</v>
      </c>
      <c r="AD26" s="36">
        <f t="shared" si="6"/>
        <v>6</v>
      </c>
      <c r="AG26" s="36">
        <f t="shared" si="7"/>
        <v>19999</v>
      </c>
      <c r="AI26" s="36">
        <f t="shared" si="8"/>
        <v>19999</v>
      </c>
      <c r="AJ26" s="36">
        <f t="shared" si="9"/>
        <v>5</v>
      </c>
      <c r="AK26" s="36" t="str">
        <f t="shared" si="10"/>
        <v/>
      </c>
      <c r="AL26" s="36" t="str">
        <f t="shared" si="11"/>
        <v/>
      </c>
      <c r="BA26" s="36">
        <f t="shared" si="13"/>
        <v>17</v>
      </c>
    </row>
    <row r="27" spans="1:53" ht="39.9" hidden="1" customHeight="1" x14ac:dyDescent="0.25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36">
        <f t="shared" si="12"/>
        <v>18</v>
      </c>
      <c r="E27" s="36" t="str">
        <f t="shared" si="0"/>
        <v/>
      </c>
      <c r="F27" s="36">
        <f>IF('Tabulka kvalifikace'!$AE$7="",99,('Tabulka kvalifikace'!EU135))</f>
        <v>99</v>
      </c>
      <c r="I27" s="36">
        <f>'Tabulka kvalifikace'!D42</f>
        <v>5</v>
      </c>
      <c r="J27" s="36">
        <f>'Tabulka kvalifikace'!AE42</f>
        <v>4</v>
      </c>
      <c r="T27" s="36">
        <f t="shared" si="1"/>
        <v>5</v>
      </c>
      <c r="U27" s="36">
        <f t="shared" si="2"/>
        <v>4</v>
      </c>
      <c r="W27" s="36">
        <f t="shared" si="14"/>
        <v>5</v>
      </c>
      <c r="X27" s="36" t="str">
        <f t="shared" si="15"/>
        <v>FII</v>
      </c>
      <c r="Z27" s="36">
        <f t="shared" si="3"/>
        <v>5</v>
      </c>
      <c r="AA27" s="36">
        <f t="shared" si="4"/>
        <v>4</v>
      </c>
      <c r="AC27" s="36">
        <f t="shared" si="5"/>
        <v>5</v>
      </c>
      <c r="AD27" s="36">
        <f t="shared" si="6"/>
        <v>4</v>
      </c>
      <c r="AG27" s="36">
        <f t="shared" si="7"/>
        <v>19999</v>
      </c>
      <c r="AI27" s="36">
        <f t="shared" si="8"/>
        <v>19999</v>
      </c>
      <c r="AJ27" s="36">
        <f t="shared" si="9"/>
        <v>5</v>
      </c>
      <c r="AK27" s="36" t="str">
        <f t="shared" si="10"/>
        <v/>
      </c>
      <c r="AL27" s="36" t="str">
        <f t="shared" si="11"/>
        <v/>
      </c>
      <c r="BA27" s="36">
        <f t="shared" si="13"/>
        <v>18</v>
      </c>
    </row>
    <row r="28" spans="1:53" ht="39.9" hidden="1" customHeight="1" x14ac:dyDescent="0.25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36">
        <f t="shared" si="12"/>
        <v>19</v>
      </c>
      <c r="E28" s="36" t="str">
        <f t="shared" si="0"/>
        <v/>
      </c>
      <c r="F28" s="36">
        <f>IF('Tabulka kvalifikace'!$AE$7="",99,('Tabulka kvalifikace'!EU136))</f>
        <v>99</v>
      </c>
      <c r="I28" s="36">
        <f>'Tabulka kvalifikace'!D44</f>
        <v>6</v>
      </c>
      <c r="J28" s="36">
        <f>'Tabulka kvalifikace'!AE44</f>
        <v>1</v>
      </c>
      <c r="T28" s="36">
        <f t="shared" si="1"/>
        <v>6</v>
      </c>
      <c r="U28" s="36">
        <f t="shared" si="2"/>
        <v>1</v>
      </c>
      <c r="W28" s="36">
        <f t="shared" si="14"/>
        <v>6</v>
      </c>
      <c r="X28" s="36" t="str">
        <f t="shared" si="15"/>
        <v>FI</v>
      </c>
      <c r="Z28" s="36" t="str">
        <f t="shared" si="3"/>
        <v/>
      </c>
      <c r="AA28" s="36" t="str">
        <f t="shared" si="4"/>
        <v/>
      </c>
      <c r="AC28" s="36">
        <f t="shared" si="5"/>
        <v>6</v>
      </c>
      <c r="AD28" s="36" t="str">
        <f t="shared" si="6"/>
        <v>FI</v>
      </c>
      <c r="AG28" s="36">
        <f t="shared" si="7"/>
        <v>19999</v>
      </c>
      <c r="AI28" s="36">
        <f t="shared" si="8"/>
        <v>19999</v>
      </c>
      <c r="AJ28" s="36">
        <f t="shared" si="9"/>
        <v>5</v>
      </c>
      <c r="AK28" s="36" t="str">
        <f t="shared" si="10"/>
        <v/>
      </c>
      <c r="AL28" s="36" t="str">
        <f t="shared" si="11"/>
        <v/>
      </c>
      <c r="BA28" s="36">
        <f t="shared" si="13"/>
        <v>19</v>
      </c>
    </row>
    <row r="29" spans="1:53" ht="39.9" hidden="1" customHeight="1" x14ac:dyDescent="0.25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36">
        <f t="shared" si="12"/>
        <v>20</v>
      </c>
      <c r="E29" s="36" t="str">
        <f t="shared" si="0"/>
        <v/>
      </c>
      <c r="F29" s="36">
        <f>IF('Tabulka kvalifikace'!$AE$7="",99,('Tabulka kvalifikace'!EU137))</f>
        <v>99</v>
      </c>
      <c r="I29" s="36" t="str">
        <f>'Tabulka kvalifikace'!D46</f>
        <v/>
      </c>
      <c r="J29" s="36" t="str">
        <f>'Tabulka kvalifikace'!AE46</f>
        <v/>
      </c>
      <c r="T29" s="36" t="str">
        <f t="shared" si="1"/>
        <v/>
      </c>
      <c r="U29" s="36" t="str">
        <f t="shared" si="2"/>
        <v/>
      </c>
      <c r="W29" s="36" t="str">
        <f t="shared" si="14"/>
        <v/>
      </c>
      <c r="X29" s="36" t="str">
        <f t="shared" si="15"/>
        <v/>
      </c>
      <c r="Z29" s="36" t="str">
        <f t="shared" si="3"/>
        <v/>
      </c>
      <c r="AA29" s="36" t="str">
        <f t="shared" si="4"/>
        <v/>
      </c>
      <c r="AC29" s="36" t="str">
        <f t="shared" si="5"/>
        <v/>
      </c>
      <c r="AD29" s="36" t="str">
        <f t="shared" si="6"/>
        <v/>
      </c>
      <c r="AG29" s="36">
        <f t="shared" si="7"/>
        <v>19999</v>
      </c>
      <c r="AI29" s="36">
        <f t="shared" si="8"/>
        <v>19999</v>
      </c>
      <c r="AJ29" s="36">
        <f t="shared" si="9"/>
        <v>5</v>
      </c>
      <c r="AK29" s="36" t="str">
        <f t="shared" si="10"/>
        <v/>
      </c>
      <c r="AL29" s="36" t="str">
        <f t="shared" si="11"/>
        <v/>
      </c>
      <c r="BA29" s="36">
        <f t="shared" si="13"/>
        <v>20</v>
      </c>
    </row>
    <row r="30" spans="1:53" ht="39.9" hidden="1" customHeight="1" x14ac:dyDescent="0.25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36">
        <f t="shared" si="12"/>
        <v>21</v>
      </c>
      <c r="E30" s="36" t="str">
        <f t="shared" si="0"/>
        <v/>
      </c>
      <c r="F30" s="36">
        <f>IF('Tabulka kvalifikace'!$AE$7="",99,('Tabulka kvalifikace'!EU138))</f>
        <v>99</v>
      </c>
      <c r="I30" s="36" t="str">
        <f>'Tabulka kvalifikace'!D48</f>
        <v/>
      </c>
      <c r="J30" s="36" t="str">
        <f>'Tabulka kvalifikace'!AE48</f>
        <v/>
      </c>
      <c r="T30" s="36" t="str">
        <f t="shared" si="1"/>
        <v/>
      </c>
      <c r="U30" s="36" t="str">
        <f t="shared" si="2"/>
        <v/>
      </c>
      <c r="W30" s="36" t="str">
        <f t="shared" si="14"/>
        <v/>
      </c>
      <c r="X30" s="36" t="str">
        <f t="shared" si="15"/>
        <v/>
      </c>
      <c r="Z30" s="36" t="str">
        <f t="shared" si="3"/>
        <v/>
      </c>
      <c r="AA30" s="36" t="str">
        <f t="shared" si="4"/>
        <v/>
      </c>
      <c r="AC30" s="36" t="str">
        <f t="shared" si="5"/>
        <v/>
      </c>
      <c r="AD30" s="36" t="str">
        <f t="shared" si="6"/>
        <v/>
      </c>
      <c r="AG30" s="36">
        <f t="shared" si="7"/>
        <v>19999</v>
      </c>
      <c r="AI30" s="36">
        <f t="shared" si="8"/>
        <v>19999</v>
      </c>
      <c r="AJ30" s="36">
        <f t="shared" si="9"/>
        <v>5</v>
      </c>
      <c r="AK30" s="36" t="str">
        <f t="shared" si="10"/>
        <v/>
      </c>
      <c r="AL30" s="36" t="str">
        <f t="shared" si="11"/>
        <v/>
      </c>
      <c r="BA30" s="36">
        <f t="shared" si="13"/>
        <v>21</v>
      </c>
    </row>
    <row r="31" spans="1:53" ht="39.9" hidden="1" customHeight="1" x14ac:dyDescent="0.25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36">
        <f t="shared" si="12"/>
        <v>22</v>
      </c>
      <c r="E31" s="36" t="str">
        <f t="shared" si="0"/>
        <v/>
      </c>
      <c r="F31" s="36">
        <f>IF('Tabulka kvalifikace'!$AE$7="",99,('Tabulka kvalifikace'!EU139))</f>
        <v>99</v>
      </c>
      <c r="I31" s="36" t="str">
        <f>'Tabulka kvalifikace'!D50</f>
        <v/>
      </c>
      <c r="J31" s="36" t="str">
        <f>'Tabulka kvalifikace'!AE50</f>
        <v/>
      </c>
      <c r="T31" s="36" t="str">
        <f t="shared" si="1"/>
        <v/>
      </c>
      <c r="U31" s="36" t="str">
        <f t="shared" si="2"/>
        <v/>
      </c>
      <c r="W31" s="36" t="str">
        <f t="shared" si="14"/>
        <v/>
      </c>
      <c r="X31" s="36" t="str">
        <f t="shared" si="15"/>
        <v/>
      </c>
      <c r="Z31" s="36" t="str">
        <f t="shared" si="3"/>
        <v/>
      </c>
      <c r="AA31" s="36" t="str">
        <f t="shared" si="4"/>
        <v/>
      </c>
      <c r="AC31" s="36" t="str">
        <f t="shared" si="5"/>
        <v/>
      </c>
      <c r="AD31" s="36" t="str">
        <f t="shared" si="6"/>
        <v/>
      </c>
      <c r="AG31" s="36">
        <f t="shared" si="7"/>
        <v>19999</v>
      </c>
      <c r="AI31" s="36">
        <f t="shared" si="8"/>
        <v>19999</v>
      </c>
      <c r="AJ31" s="36">
        <f t="shared" si="9"/>
        <v>5</v>
      </c>
      <c r="AK31" s="36" t="str">
        <f t="shared" si="10"/>
        <v/>
      </c>
      <c r="AL31" s="36" t="str">
        <f t="shared" si="11"/>
        <v/>
      </c>
      <c r="BA31" s="36">
        <f t="shared" si="13"/>
        <v>22</v>
      </c>
    </row>
    <row r="32" spans="1:53" ht="39.9" hidden="1" customHeight="1" x14ac:dyDescent="0.25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36">
        <f t="shared" si="12"/>
        <v>23</v>
      </c>
      <c r="E32" s="36" t="str">
        <f t="shared" si="0"/>
        <v/>
      </c>
      <c r="F32" s="36">
        <f>IF('Tabulka kvalifikace'!$AE$7="",99,('Tabulka kvalifikace'!EU140))</f>
        <v>99</v>
      </c>
      <c r="I32" s="36" t="str">
        <f>'Tabulka kvalifikace'!D52</f>
        <v/>
      </c>
      <c r="J32" s="36" t="str">
        <f>'Tabulka kvalifikace'!AE52</f>
        <v/>
      </c>
      <c r="T32" s="36" t="str">
        <f t="shared" si="1"/>
        <v/>
      </c>
      <c r="U32" s="36" t="str">
        <f t="shared" si="2"/>
        <v/>
      </c>
      <c r="W32" s="36" t="str">
        <f t="shared" si="14"/>
        <v/>
      </c>
      <c r="X32" s="36" t="str">
        <f t="shared" si="15"/>
        <v/>
      </c>
      <c r="Z32" s="36" t="str">
        <f t="shared" si="3"/>
        <v/>
      </c>
      <c r="AA32" s="36" t="str">
        <f t="shared" si="4"/>
        <v/>
      </c>
      <c r="AC32" s="36" t="str">
        <f t="shared" si="5"/>
        <v/>
      </c>
      <c r="AD32" s="36" t="str">
        <f t="shared" si="6"/>
        <v/>
      </c>
      <c r="AG32" s="36">
        <f t="shared" si="7"/>
        <v>19999</v>
      </c>
      <c r="AI32" s="36">
        <f t="shared" si="8"/>
        <v>19999</v>
      </c>
      <c r="AJ32" s="36">
        <f t="shared" si="9"/>
        <v>5</v>
      </c>
      <c r="AK32" s="36" t="str">
        <f t="shared" si="10"/>
        <v/>
      </c>
      <c r="AL32" s="36" t="str">
        <f t="shared" si="11"/>
        <v/>
      </c>
      <c r="BA32" s="36">
        <f t="shared" si="13"/>
        <v>23</v>
      </c>
    </row>
    <row r="33" spans="1:53" ht="39.9" hidden="1" customHeight="1" x14ac:dyDescent="0.25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36">
        <f t="shared" si="12"/>
        <v>24</v>
      </c>
      <c r="E33" s="36" t="str">
        <f t="shared" si="0"/>
        <v/>
      </c>
      <c r="F33" s="36">
        <f>IF('Tabulka kvalifikace'!$AE$7="",99,('Tabulka kvalifikace'!EU141))</f>
        <v>99</v>
      </c>
      <c r="I33" s="36" t="str">
        <f>'Tabulka kvalifikace'!D54</f>
        <v/>
      </c>
      <c r="J33" s="36" t="str">
        <f>'Tabulka kvalifikace'!AE54</f>
        <v/>
      </c>
      <c r="T33" s="36" t="str">
        <f t="shared" si="1"/>
        <v/>
      </c>
      <c r="U33" s="36" t="str">
        <f t="shared" si="2"/>
        <v/>
      </c>
      <c r="W33" s="36" t="str">
        <f t="shared" si="14"/>
        <v/>
      </c>
      <c r="X33" s="36" t="str">
        <f t="shared" si="15"/>
        <v/>
      </c>
      <c r="Z33" s="36" t="str">
        <f t="shared" si="3"/>
        <v/>
      </c>
      <c r="AA33" s="36" t="str">
        <f t="shared" si="4"/>
        <v/>
      </c>
      <c r="AC33" s="36" t="str">
        <f t="shared" si="5"/>
        <v/>
      </c>
      <c r="AD33" s="36" t="str">
        <f t="shared" si="6"/>
        <v/>
      </c>
      <c r="AG33" s="36">
        <f t="shared" si="7"/>
        <v>19999</v>
      </c>
      <c r="AI33" s="36">
        <f t="shared" si="8"/>
        <v>19999</v>
      </c>
      <c r="AJ33" s="36">
        <f t="shared" si="9"/>
        <v>5</v>
      </c>
      <c r="AK33" s="36" t="str">
        <f t="shared" si="10"/>
        <v/>
      </c>
      <c r="AL33" s="36" t="str">
        <f t="shared" si="11"/>
        <v/>
      </c>
      <c r="BA33" s="36">
        <f t="shared" si="13"/>
        <v>24</v>
      </c>
    </row>
    <row r="34" spans="1:53" ht="39.9" hidden="1" customHeight="1" x14ac:dyDescent="0.25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36">
        <f t="shared" si="12"/>
        <v>25</v>
      </c>
      <c r="E34" s="36" t="str">
        <f t="shared" si="0"/>
        <v/>
      </c>
      <c r="F34" s="36">
        <f>IF('Tabulka kvalifikace'!$AE$7="",99,('Tabulka kvalifikace'!EU142))</f>
        <v>99</v>
      </c>
      <c r="I34" s="36" t="str">
        <f>'Tabulka kvalifikace'!D56</f>
        <v/>
      </c>
      <c r="J34" s="36" t="str">
        <f>'Tabulka kvalifikace'!AE56</f>
        <v/>
      </c>
      <c r="T34" s="36" t="str">
        <f t="shared" si="1"/>
        <v/>
      </c>
      <c r="U34" s="36" t="str">
        <f t="shared" si="2"/>
        <v/>
      </c>
      <c r="W34" s="36" t="str">
        <f t="shared" si="14"/>
        <v/>
      </c>
      <c r="X34" s="36" t="str">
        <f t="shared" si="15"/>
        <v/>
      </c>
      <c r="Z34" s="36" t="str">
        <f t="shared" si="3"/>
        <v/>
      </c>
      <c r="AA34" s="36" t="str">
        <f t="shared" si="4"/>
        <v/>
      </c>
      <c r="AC34" s="36" t="str">
        <f t="shared" si="5"/>
        <v/>
      </c>
      <c r="AD34" s="36" t="str">
        <f t="shared" si="6"/>
        <v/>
      </c>
      <c r="AG34" s="36">
        <f t="shared" si="7"/>
        <v>19999</v>
      </c>
      <c r="AI34" s="36">
        <f t="shared" si="8"/>
        <v>19999</v>
      </c>
      <c r="AJ34" s="36">
        <f t="shared" si="9"/>
        <v>5</v>
      </c>
      <c r="AK34" s="36" t="str">
        <f t="shared" si="10"/>
        <v/>
      </c>
      <c r="AL34" s="36" t="str">
        <f t="shared" si="11"/>
        <v/>
      </c>
      <c r="BA34" s="36">
        <f t="shared" si="13"/>
        <v>25</v>
      </c>
    </row>
    <row r="35" spans="1:53" ht="39.9" hidden="1" customHeight="1" x14ac:dyDescent="0.25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36">
        <f t="shared" si="12"/>
        <v>26</v>
      </c>
      <c r="E35" s="36" t="str">
        <f t="shared" si="0"/>
        <v/>
      </c>
      <c r="F35" s="36">
        <f>IF('Tabulka kvalifikace'!$AE$7="",99,('Tabulka kvalifikace'!EU143))</f>
        <v>99</v>
      </c>
      <c r="I35" s="36" t="str">
        <f>'Tabulka kvalifikace'!D58</f>
        <v/>
      </c>
      <c r="J35" s="36" t="str">
        <f>'Tabulka kvalifikace'!AE58</f>
        <v/>
      </c>
      <c r="T35" s="36" t="str">
        <f t="shared" si="1"/>
        <v/>
      </c>
      <c r="U35" s="36" t="str">
        <f t="shared" si="2"/>
        <v/>
      </c>
      <c r="W35" s="36" t="str">
        <f t="shared" si="14"/>
        <v/>
      </c>
      <c r="X35" s="36" t="str">
        <f t="shared" si="15"/>
        <v/>
      </c>
      <c r="Z35" s="36" t="str">
        <f t="shared" si="3"/>
        <v/>
      </c>
      <c r="AA35" s="36" t="str">
        <f t="shared" si="4"/>
        <v/>
      </c>
      <c r="AC35" s="36" t="str">
        <f t="shared" si="5"/>
        <v/>
      </c>
      <c r="AD35" s="36" t="str">
        <f t="shared" si="6"/>
        <v/>
      </c>
      <c r="AG35" s="36">
        <f t="shared" si="7"/>
        <v>19999</v>
      </c>
      <c r="AI35" s="36">
        <f t="shared" si="8"/>
        <v>19999</v>
      </c>
      <c r="AJ35" s="36">
        <f t="shared" si="9"/>
        <v>5</v>
      </c>
      <c r="AK35" s="36" t="str">
        <f t="shared" si="10"/>
        <v/>
      </c>
      <c r="AL35" s="36" t="str">
        <f t="shared" si="11"/>
        <v/>
      </c>
      <c r="BA35" s="36">
        <f t="shared" si="13"/>
        <v>26</v>
      </c>
    </row>
    <row r="36" spans="1:53" ht="39.9" hidden="1" customHeight="1" x14ac:dyDescent="0.25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36">
        <f t="shared" si="12"/>
        <v>27</v>
      </c>
      <c r="E36" s="36" t="str">
        <f t="shared" si="0"/>
        <v/>
      </c>
      <c r="F36" s="36">
        <f>IF('Tabulka kvalifikace'!$AE$7="",99,('Tabulka kvalifikace'!EU144))</f>
        <v>99</v>
      </c>
      <c r="I36" s="36" t="str">
        <f>'Tabulka kvalifikace'!D60</f>
        <v/>
      </c>
      <c r="J36" s="36" t="str">
        <f>'Tabulka kvalifikace'!AE60</f>
        <v/>
      </c>
      <c r="T36" s="36" t="str">
        <f t="shared" si="1"/>
        <v/>
      </c>
      <c r="U36" s="36" t="str">
        <f t="shared" si="2"/>
        <v/>
      </c>
      <c r="W36" s="36" t="str">
        <f t="shared" si="14"/>
        <v/>
      </c>
      <c r="X36" s="36" t="str">
        <f t="shared" si="15"/>
        <v/>
      </c>
      <c r="Z36" s="36" t="str">
        <f t="shared" si="3"/>
        <v/>
      </c>
      <c r="AA36" s="36" t="str">
        <f t="shared" si="4"/>
        <v/>
      </c>
      <c r="AC36" s="36" t="str">
        <f t="shared" si="5"/>
        <v/>
      </c>
      <c r="AD36" s="36" t="str">
        <f t="shared" si="6"/>
        <v/>
      </c>
      <c r="AG36" s="36">
        <f t="shared" si="7"/>
        <v>19999</v>
      </c>
      <c r="AI36" s="36">
        <f t="shared" si="8"/>
        <v>19999</v>
      </c>
      <c r="AJ36" s="36">
        <f t="shared" si="9"/>
        <v>5</v>
      </c>
      <c r="AK36" s="36" t="str">
        <f t="shared" si="10"/>
        <v/>
      </c>
      <c r="AL36" s="36" t="str">
        <f t="shared" si="11"/>
        <v/>
      </c>
      <c r="BA36" s="36">
        <f t="shared" si="13"/>
        <v>27</v>
      </c>
    </row>
    <row r="37" spans="1:53" ht="39.9" hidden="1" customHeight="1" x14ac:dyDescent="0.25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36">
        <f t="shared" si="12"/>
        <v>28</v>
      </c>
      <c r="E37" s="36" t="str">
        <f t="shared" si="0"/>
        <v/>
      </c>
      <c r="F37" s="36">
        <f>IF('Tabulka kvalifikace'!$AE$7="",99,('Tabulka kvalifikace'!EU145))</f>
        <v>99</v>
      </c>
      <c r="I37" s="36" t="str">
        <f>'Tabulka kvalifikace'!D62</f>
        <v/>
      </c>
      <c r="J37" s="36" t="str">
        <f>'Tabulka kvalifikace'!AE62</f>
        <v/>
      </c>
      <c r="T37" s="36" t="str">
        <f t="shared" si="1"/>
        <v/>
      </c>
      <c r="U37" s="36" t="str">
        <f t="shared" si="2"/>
        <v/>
      </c>
      <c r="W37" s="36" t="str">
        <f t="shared" si="14"/>
        <v/>
      </c>
      <c r="X37" s="36" t="str">
        <f t="shared" si="15"/>
        <v/>
      </c>
      <c r="Z37" s="36" t="str">
        <f t="shared" si="3"/>
        <v/>
      </c>
      <c r="AA37" s="36" t="str">
        <f t="shared" si="4"/>
        <v/>
      </c>
      <c r="AC37" s="36" t="str">
        <f t="shared" si="5"/>
        <v/>
      </c>
      <c r="AD37" s="36" t="str">
        <f t="shared" si="6"/>
        <v/>
      </c>
      <c r="AG37" s="36">
        <f t="shared" si="7"/>
        <v>19999</v>
      </c>
      <c r="AI37" s="36">
        <f t="shared" si="8"/>
        <v>19999</v>
      </c>
      <c r="AJ37" s="36">
        <f t="shared" si="9"/>
        <v>5</v>
      </c>
      <c r="AK37" s="36" t="str">
        <f t="shared" si="10"/>
        <v/>
      </c>
      <c r="AL37" s="36" t="str">
        <f t="shared" si="11"/>
        <v/>
      </c>
      <c r="BA37" s="36">
        <f t="shared" si="13"/>
        <v>28</v>
      </c>
    </row>
    <row r="38" spans="1:53" ht="39.9" hidden="1" customHeight="1" x14ac:dyDescent="0.25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36">
        <f t="shared" si="12"/>
        <v>29</v>
      </c>
      <c r="E38" s="36" t="str">
        <f t="shared" si="0"/>
        <v/>
      </c>
      <c r="F38" s="36">
        <f>IF('Tabulka kvalifikace'!$AE$7="",99,('Tabulka kvalifikace'!EU146))</f>
        <v>99</v>
      </c>
      <c r="I38" s="36" t="str">
        <f>'Tabulka kvalifikace'!D64</f>
        <v/>
      </c>
      <c r="J38" s="36" t="str">
        <f>'Tabulka kvalifikace'!AE64</f>
        <v/>
      </c>
      <c r="T38" s="36" t="str">
        <f t="shared" si="1"/>
        <v/>
      </c>
      <c r="U38" s="36" t="str">
        <f t="shared" si="2"/>
        <v/>
      </c>
      <c r="W38" s="36" t="str">
        <f t="shared" si="14"/>
        <v/>
      </c>
      <c r="X38" s="36" t="str">
        <f t="shared" si="15"/>
        <v/>
      </c>
      <c r="Z38" s="36" t="str">
        <f t="shared" si="3"/>
        <v/>
      </c>
      <c r="AA38" s="36" t="str">
        <f t="shared" si="4"/>
        <v/>
      </c>
      <c r="AC38" s="36" t="str">
        <f t="shared" si="5"/>
        <v/>
      </c>
      <c r="AD38" s="36" t="str">
        <f t="shared" si="6"/>
        <v/>
      </c>
      <c r="AG38" s="36">
        <f t="shared" si="7"/>
        <v>19999</v>
      </c>
      <c r="AI38" s="36">
        <f t="shared" si="8"/>
        <v>19999</v>
      </c>
      <c r="AJ38" s="36">
        <f t="shared" si="9"/>
        <v>5</v>
      </c>
      <c r="AK38" s="36" t="str">
        <f t="shared" si="10"/>
        <v/>
      </c>
      <c r="AL38" s="36" t="str">
        <f t="shared" si="11"/>
        <v/>
      </c>
      <c r="BA38" s="36">
        <f t="shared" si="13"/>
        <v>29</v>
      </c>
    </row>
    <row r="39" spans="1:53" ht="39.9" hidden="1" customHeight="1" x14ac:dyDescent="0.25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36">
        <f t="shared" si="12"/>
        <v>30</v>
      </c>
      <c r="E39" s="36" t="str">
        <f t="shared" si="0"/>
        <v/>
      </c>
      <c r="F39" s="36">
        <f>IF('Tabulka kvalifikace'!$AE$7="",99,('Tabulka kvalifikace'!EU147))</f>
        <v>99</v>
      </c>
      <c r="I39" s="36" t="str">
        <f>'Tabulka kvalifikace'!D66</f>
        <v/>
      </c>
      <c r="J39" s="36" t="str">
        <f>'Tabulka kvalifikace'!AE66</f>
        <v/>
      </c>
      <c r="T39" s="36" t="str">
        <f t="shared" si="1"/>
        <v/>
      </c>
      <c r="U39" s="36" t="str">
        <f t="shared" si="2"/>
        <v/>
      </c>
      <c r="W39" s="36" t="str">
        <f t="shared" si="14"/>
        <v/>
      </c>
      <c r="X39" s="36" t="str">
        <f t="shared" si="15"/>
        <v/>
      </c>
      <c r="Z39" s="36" t="str">
        <f t="shared" si="3"/>
        <v/>
      </c>
      <c r="AA39" s="36" t="str">
        <f t="shared" si="4"/>
        <v/>
      </c>
      <c r="AC39" s="36" t="str">
        <f t="shared" si="5"/>
        <v/>
      </c>
      <c r="AD39" s="36" t="str">
        <f t="shared" si="6"/>
        <v/>
      </c>
      <c r="AG39" s="36">
        <f t="shared" si="7"/>
        <v>19999</v>
      </c>
      <c r="AI39" s="36">
        <f t="shared" si="8"/>
        <v>19999</v>
      </c>
      <c r="AJ39" s="36">
        <f t="shared" si="9"/>
        <v>5</v>
      </c>
      <c r="AK39" s="36" t="str">
        <f t="shared" si="10"/>
        <v/>
      </c>
      <c r="AL39" s="36" t="str">
        <f t="shared" si="11"/>
        <v/>
      </c>
      <c r="BA39" s="36">
        <f t="shared" si="13"/>
        <v>30</v>
      </c>
    </row>
    <row r="40" spans="1:53" ht="39.9" hidden="1" customHeight="1" x14ac:dyDescent="0.25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36">
        <f t="shared" si="12"/>
        <v>31</v>
      </c>
      <c r="E40" s="36" t="str">
        <f t="shared" si="0"/>
        <v/>
      </c>
      <c r="F40" s="36">
        <f>IF('Tabulka kvalifikace'!$AE$7="",99,('Tabulka kvalifikace'!EU148))</f>
        <v>99</v>
      </c>
      <c r="I40" s="36" t="str">
        <f>'Tabulka kvalifikace'!D68</f>
        <v/>
      </c>
      <c r="J40" s="36" t="str">
        <f>'Tabulka kvalifikace'!AE68</f>
        <v/>
      </c>
      <c r="T40" s="36" t="str">
        <f t="shared" si="1"/>
        <v/>
      </c>
      <c r="U40" s="36" t="str">
        <f t="shared" si="2"/>
        <v/>
      </c>
      <c r="W40" s="36" t="str">
        <f t="shared" si="14"/>
        <v/>
      </c>
      <c r="X40" s="36" t="str">
        <f t="shared" si="15"/>
        <v/>
      </c>
      <c r="Z40" s="36" t="str">
        <f t="shared" si="3"/>
        <v/>
      </c>
      <c r="AA40" s="36" t="str">
        <f t="shared" si="4"/>
        <v/>
      </c>
      <c r="AC40" s="36" t="str">
        <f t="shared" si="5"/>
        <v/>
      </c>
      <c r="AD40" s="36" t="str">
        <f t="shared" si="6"/>
        <v/>
      </c>
      <c r="AG40" s="36">
        <f t="shared" si="7"/>
        <v>19999</v>
      </c>
      <c r="AI40" s="36">
        <f t="shared" si="8"/>
        <v>19999</v>
      </c>
      <c r="AJ40" s="36">
        <f t="shared" si="9"/>
        <v>5</v>
      </c>
      <c r="AK40" s="36" t="str">
        <f t="shared" si="10"/>
        <v/>
      </c>
      <c r="AL40" s="36" t="str">
        <f t="shared" si="11"/>
        <v/>
      </c>
      <c r="BA40" s="36">
        <f t="shared" si="13"/>
        <v>31</v>
      </c>
    </row>
    <row r="41" spans="1:53" ht="39.9" hidden="1" customHeight="1" thickBot="1" x14ac:dyDescent="0.3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36">
        <f t="shared" si="12"/>
        <v>32</v>
      </c>
      <c r="E41" s="36" t="str">
        <f t="shared" si="0"/>
        <v/>
      </c>
      <c r="F41" s="36">
        <f>IF('Tabulka kvalifikace'!$AE$7="",99,('Tabulka kvalifikace'!EU149))</f>
        <v>99</v>
      </c>
      <c r="I41" s="36" t="str">
        <f>'Tabulka kvalifikace'!D70</f>
        <v/>
      </c>
      <c r="J41" s="36" t="str">
        <f>'Tabulka kvalifikace'!AE70</f>
        <v/>
      </c>
      <c r="T41" s="36" t="str">
        <f t="shared" si="1"/>
        <v/>
      </c>
      <c r="U41" s="36" t="str">
        <f t="shared" si="2"/>
        <v/>
      </c>
      <c r="W41" s="36" t="str">
        <f t="shared" si="14"/>
        <v/>
      </c>
      <c r="X41" s="36" t="str">
        <f t="shared" si="15"/>
        <v/>
      </c>
      <c r="Z41" s="36" t="str">
        <f t="shared" si="3"/>
        <v/>
      </c>
      <c r="AA41" s="36" t="str">
        <f t="shared" si="4"/>
        <v/>
      </c>
      <c r="AC41" s="36" t="str">
        <f t="shared" si="5"/>
        <v/>
      </c>
      <c r="AD41" s="36" t="str">
        <f t="shared" si="6"/>
        <v/>
      </c>
      <c r="AG41" s="36">
        <f t="shared" si="7"/>
        <v>19999</v>
      </c>
      <c r="AI41" s="36">
        <f t="shared" si="8"/>
        <v>19999</v>
      </c>
      <c r="AJ41" s="36">
        <f t="shared" si="9"/>
        <v>5</v>
      </c>
      <c r="AK41" s="36" t="str">
        <f t="shared" si="10"/>
        <v/>
      </c>
      <c r="AL41" s="36" t="str">
        <f t="shared" si="11"/>
        <v/>
      </c>
      <c r="BA41" s="36">
        <f t="shared" si="13"/>
        <v>32</v>
      </c>
    </row>
    <row r="42" spans="1:53" ht="25.2" hidden="1" thickBot="1" x14ac:dyDescent="0.3">
      <c r="A42" s="239" t="str">
        <f>IF('Tabulka kvalifikace'!AC37="x",(IF(F42=99,"",('Tabulka kvalifikace'!ES150))),"")</f>
        <v/>
      </c>
      <c r="B42" s="113"/>
      <c r="C42" s="113"/>
      <c r="BA42" s="36">
        <f t="shared" si="13"/>
        <v>33</v>
      </c>
    </row>
    <row r="43" spans="1:53" ht="25.2" hidden="1" thickBot="1" x14ac:dyDescent="0.3">
      <c r="A43" s="239" t="str">
        <f>IF('Tabulka kvalifikace'!AC38="x",(IF(F43=99,"",('Tabulka kvalifikace'!ES151))),"")</f>
        <v/>
      </c>
      <c r="BA43" s="36">
        <f t="shared" si="13"/>
        <v>34</v>
      </c>
    </row>
    <row r="44" spans="1:53" ht="25.2" hidden="1" thickBot="1" x14ac:dyDescent="0.3">
      <c r="A44" s="239" t="str">
        <f>IF('Tabulka kvalifikace'!AC39="x",(IF(F44=99,"",('Tabulka kvalifikace'!ES152))),"")</f>
        <v/>
      </c>
      <c r="BA44" s="36">
        <f t="shared" si="13"/>
        <v>35</v>
      </c>
    </row>
    <row r="45" spans="1:53" ht="25.2" hidden="1" thickBot="1" x14ac:dyDescent="0.3">
      <c r="A45" s="277" t="str">
        <f>IF('Tabulka kvalifikace'!AC40="x",(IF(F45=99,"",('Tabulka kvalifikace'!ES153))),"")</f>
        <v/>
      </c>
      <c r="BA45" s="36">
        <f t="shared" si="13"/>
        <v>36</v>
      </c>
    </row>
    <row r="46" spans="1:53" x14ac:dyDescent="0.25">
      <c r="A46" s="113"/>
      <c r="B46" s="113"/>
      <c r="C46" s="113"/>
    </row>
    <row r="47" spans="1:53" x14ac:dyDescent="0.25">
      <c r="A47" t="str">
        <f>'Vážní listina'!A40</f>
        <v xml:space="preserve">Jablunkov,  27.1.2024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JF15" sqref="JF15"/>
    </sheetView>
  </sheetViews>
  <sheetFormatPr defaultRowHeight="13.2" x14ac:dyDescent="0.25"/>
  <cols>
    <col min="1" max="1" width="9.109375" style="1" customWidth="1"/>
    <col min="2" max="2" width="9.88671875" style="36" hidden="1" customWidth="1"/>
    <col min="3" max="3" width="5.5546875" style="36" hidden="1" customWidth="1"/>
    <col min="4" max="4" width="27.88671875" customWidth="1"/>
    <col min="5" max="5" width="10.33203125" style="7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67" hidden="1" customWidth="1"/>
    <col min="12" max="12" width="5.6640625" style="36" hidden="1" customWidth="1"/>
    <col min="13" max="14" width="9.109375" style="67" hidden="1" customWidth="1"/>
    <col min="15" max="15" width="5.33203125" style="1" hidden="1" customWidth="1"/>
    <col min="16" max="19" width="9.109375" hidden="1" customWidth="1"/>
    <col min="20" max="20" width="9.109375" style="53" hidden="1" customWidth="1"/>
    <col min="21" max="23" width="9.109375" style="36" hidden="1" customWidth="1"/>
    <col min="24" max="24" width="10.109375" style="53" hidden="1" customWidth="1"/>
    <col min="25" max="25" width="9.109375" style="36" hidden="1" customWidth="1"/>
    <col min="26" max="26" width="9.109375" style="1" hidden="1" customWidth="1"/>
    <col min="27" max="27" width="9.109375" hidden="1" customWidth="1"/>
    <col min="28" max="28" width="11" style="53" hidden="1" customWidth="1"/>
    <col min="29" max="30" width="9.109375" hidden="1" customWidth="1"/>
    <col min="31" max="58" width="4.6640625" style="36" hidden="1" customWidth="1"/>
    <col min="59" max="67" width="4.6640625" hidden="1" customWidth="1"/>
    <col min="68" max="221" width="4.6640625" style="36" hidden="1" customWidth="1"/>
    <col min="222" max="224" width="4.6640625" hidden="1" customWidth="1"/>
    <col min="225" max="225" width="29.109375" hidden="1" customWidth="1"/>
    <col min="226" max="226" width="16.109375" hidden="1" customWidth="1"/>
    <col min="227" max="228" width="4.6640625" hidden="1" customWidth="1"/>
    <col min="229" max="257" width="4.6640625" style="36" hidden="1" customWidth="1"/>
    <col min="258" max="259" width="5.6640625" style="36" hidden="1" customWidth="1"/>
    <col min="260" max="260" width="5.6640625" hidden="1" customWidth="1"/>
    <col min="261" max="262" width="5.6640625" customWidth="1"/>
  </cols>
  <sheetData>
    <row r="1" spans="1:259" ht="30" customHeight="1" x14ac:dyDescent="0.25">
      <c r="A1" s="289" t="str">
        <f>[1]List1!$A$2</f>
        <v>Vážní listina</v>
      </c>
      <c r="B1" s="289"/>
      <c r="C1" s="289"/>
      <c r="D1" s="289"/>
      <c r="E1" s="289"/>
      <c r="F1" s="289"/>
      <c r="G1" s="289"/>
      <c r="H1" s="289"/>
      <c r="I1" s="289"/>
      <c r="AE1" s="36" t="str">
        <f>[1]List1!$F$17</f>
        <v>VL</v>
      </c>
      <c r="HB1" s="67" t="s">
        <v>18</v>
      </c>
      <c r="HD1" s="36">
        <f>33-AE3</f>
        <v>27</v>
      </c>
    </row>
    <row r="2" spans="1:259" ht="23.25" customHeight="1" thickBot="1" x14ac:dyDescent="0.3">
      <c r="A2" s="293" t="str">
        <f>'[2]Základní údaje'!$B$3</f>
        <v>4. ročník „O ZLATÉ JABLKO “</v>
      </c>
      <c r="B2" s="293"/>
      <c r="C2" s="293"/>
      <c r="D2" s="293"/>
      <c r="E2" s="293"/>
      <c r="F2" s="293"/>
      <c r="G2" s="293"/>
      <c r="H2" s="293"/>
      <c r="I2" s="293"/>
      <c r="AE2" s="36" t="s">
        <v>3</v>
      </c>
      <c r="HB2" s="288" t="str">
        <f>'Tabulka kvalifikace'!G3</f>
        <v>Počet zápasníků</v>
      </c>
      <c r="HC2" s="288"/>
      <c r="HD2" s="288"/>
      <c r="HE2" s="288"/>
      <c r="HF2" s="36">
        <f>AE3</f>
        <v>6</v>
      </c>
      <c r="HW2" s="288" t="str">
        <f>[1]List1!$A$36</f>
        <v>Párování kola</v>
      </c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  <c r="IO2" s="288"/>
      <c r="IP2" s="288"/>
      <c r="IQ2" s="288"/>
      <c r="IR2" s="288"/>
      <c r="IS2" s="288"/>
      <c r="IT2" s="288"/>
      <c r="IU2" s="288"/>
      <c r="IV2" s="288"/>
      <c r="IW2" s="288"/>
    </row>
    <row r="3" spans="1:259" ht="14.4" thickTop="1" thickBot="1" x14ac:dyDescent="0.3">
      <c r="A3" s="2" t="str">
        <f>CONCATENATE([1]List1!$A$3)</f>
        <v>Místo:</v>
      </c>
      <c r="D3" s="2" t="str">
        <f>'[2]Základní údaje'!$D$3</f>
        <v>Jablunkov</v>
      </c>
      <c r="E3" s="75"/>
      <c r="F3" s="292"/>
      <c r="G3" s="292"/>
      <c r="H3" s="1"/>
      <c r="I3" s="1"/>
      <c r="AE3" s="254">
        <f>SUM(AE7:AE38)</f>
        <v>6</v>
      </c>
      <c r="AI3" s="36">
        <v>1</v>
      </c>
      <c r="AJ3" s="53"/>
      <c r="AK3" s="53"/>
      <c r="AL3" s="36">
        <f>AI3+1</f>
        <v>2</v>
      </c>
      <c r="AM3" s="53"/>
      <c r="AN3" s="53"/>
      <c r="AO3" s="36">
        <f>AL3+1</f>
        <v>3</v>
      </c>
      <c r="AP3" s="53"/>
      <c r="AQ3" s="53"/>
      <c r="AR3" s="36">
        <f>AO3+1</f>
        <v>4</v>
      </c>
      <c r="AS3" s="53"/>
      <c r="AT3" s="53"/>
      <c r="AU3" s="36">
        <f>AR3+1</f>
        <v>5</v>
      </c>
      <c r="AV3" s="53"/>
      <c r="AW3" s="53"/>
      <c r="AX3" s="36">
        <f>AU3+1</f>
        <v>6</v>
      </c>
      <c r="AY3" s="53"/>
      <c r="AZ3" s="53"/>
      <c r="BA3" s="36">
        <f>AX3+1</f>
        <v>7</v>
      </c>
      <c r="BB3" s="53"/>
      <c r="BC3" s="53"/>
      <c r="BD3" s="36">
        <f>BA3+1</f>
        <v>8</v>
      </c>
      <c r="BE3" s="53"/>
      <c r="BF3" s="53"/>
      <c r="BG3" s="36">
        <f>BD3+1</f>
        <v>9</v>
      </c>
      <c r="BH3" s="53"/>
      <c r="BI3" s="53"/>
      <c r="BJ3" s="36">
        <f>BG3+1</f>
        <v>10</v>
      </c>
      <c r="BK3" s="53"/>
      <c r="BL3" s="53"/>
      <c r="BM3" s="36">
        <f>BJ3+1</f>
        <v>11</v>
      </c>
      <c r="BN3" s="53"/>
      <c r="BO3" s="53"/>
      <c r="BP3" s="36">
        <f>BM3+1</f>
        <v>12</v>
      </c>
      <c r="BQ3" s="53"/>
      <c r="BR3" s="53"/>
      <c r="BS3" s="36">
        <f>BP3+1</f>
        <v>13</v>
      </c>
      <c r="BV3" s="36">
        <f>BS3+1</f>
        <v>14</v>
      </c>
      <c r="BW3" s="53"/>
      <c r="BX3" s="53"/>
      <c r="BY3" s="36">
        <f>BV3+1</f>
        <v>15</v>
      </c>
      <c r="BZ3" s="53"/>
      <c r="CA3" s="53"/>
      <c r="CB3" s="36">
        <f>BY3+1</f>
        <v>16</v>
      </c>
      <c r="CC3" s="53"/>
      <c r="CD3" s="53"/>
      <c r="CE3" s="36">
        <f>CB3+1</f>
        <v>17</v>
      </c>
      <c r="CH3" s="36">
        <f>CE3+1</f>
        <v>18</v>
      </c>
      <c r="CI3" s="53"/>
      <c r="CJ3" s="53"/>
      <c r="CK3" s="36">
        <f>CH3+1</f>
        <v>19</v>
      </c>
      <c r="CL3" s="53"/>
      <c r="CM3" s="53"/>
      <c r="CN3" s="36">
        <f>CK3+1</f>
        <v>20</v>
      </c>
      <c r="CO3" s="53"/>
      <c r="CP3" s="53"/>
      <c r="CQ3" s="36">
        <f>CN3+1</f>
        <v>21</v>
      </c>
      <c r="CT3" s="36">
        <f>CQ3+1</f>
        <v>22</v>
      </c>
      <c r="CU3" s="53"/>
      <c r="CV3" s="53"/>
      <c r="CW3" s="36">
        <f>CT3+1</f>
        <v>23</v>
      </c>
      <c r="CX3" s="53"/>
      <c r="CY3" s="53"/>
      <c r="CZ3" s="36">
        <f>CW3+1</f>
        <v>24</v>
      </c>
      <c r="DA3" s="53"/>
      <c r="DB3" s="53"/>
      <c r="DC3" s="36">
        <f>CZ3+1</f>
        <v>25</v>
      </c>
      <c r="DF3" s="36">
        <f>DC3+1</f>
        <v>26</v>
      </c>
      <c r="DG3" s="53"/>
      <c r="DH3" s="53"/>
      <c r="DI3" s="36">
        <f>DF3+1</f>
        <v>27</v>
      </c>
      <c r="DJ3" s="53"/>
      <c r="DK3" s="53"/>
      <c r="DO3" s="288" t="str">
        <f>[1]List1!$B$7</f>
        <v>los</v>
      </c>
      <c r="DP3" s="288"/>
      <c r="DQ3" s="288"/>
      <c r="DR3" s="288"/>
      <c r="DS3" s="288"/>
      <c r="DT3" s="288"/>
      <c r="DU3" s="288"/>
      <c r="DV3" s="288"/>
      <c r="DW3" s="288"/>
      <c r="DX3" s="288"/>
      <c r="DY3" s="288"/>
      <c r="DZ3" s="288"/>
      <c r="EA3" s="288"/>
      <c r="EB3" s="288"/>
      <c r="EC3" s="288"/>
      <c r="ED3" s="288"/>
      <c r="EE3" s="288"/>
      <c r="EF3" s="288"/>
      <c r="EG3" s="288"/>
      <c r="EH3" s="288"/>
      <c r="EI3" s="288"/>
      <c r="EJ3" s="288"/>
      <c r="EK3" s="288"/>
      <c r="EL3" s="288"/>
      <c r="EM3" s="288"/>
      <c r="EN3" s="288"/>
      <c r="EO3" s="288"/>
      <c r="ES3" s="53"/>
      <c r="ET3" s="288" t="str">
        <f>[1]List1!$A$12</f>
        <v>1. kolo</v>
      </c>
      <c r="EU3" s="288"/>
      <c r="EV3" s="288"/>
      <c r="EW3" s="288"/>
      <c r="EX3" s="288"/>
      <c r="EY3" s="288"/>
      <c r="EZ3" s="288"/>
      <c r="FA3" s="288"/>
      <c r="FB3" s="288"/>
      <c r="FC3" s="288"/>
      <c r="FD3" s="288"/>
      <c r="FE3" s="288"/>
      <c r="FF3" s="288"/>
      <c r="FG3" s="288"/>
      <c r="FH3" s="288"/>
      <c r="FI3" s="288"/>
      <c r="FJ3" s="288"/>
      <c r="FK3" s="288"/>
      <c r="FL3" s="288"/>
      <c r="FM3" s="288"/>
      <c r="FN3" s="288"/>
      <c r="FO3" s="288"/>
      <c r="FP3" s="288"/>
      <c r="FQ3" s="288"/>
      <c r="FR3" s="288"/>
      <c r="FS3" s="288"/>
      <c r="FT3" s="288"/>
      <c r="FY3" s="288" t="str">
        <f>[1]List1!$A$13</f>
        <v>2. kolo</v>
      </c>
      <c r="FZ3" s="288"/>
      <c r="GA3" s="288"/>
      <c r="GB3" s="288"/>
      <c r="GC3" s="288"/>
      <c r="GD3" s="288"/>
      <c r="GE3" s="288"/>
      <c r="GF3" s="288"/>
      <c r="GG3" s="288"/>
      <c r="GH3" s="288"/>
      <c r="GI3" s="288"/>
      <c r="GJ3" s="288"/>
      <c r="GK3" s="288"/>
      <c r="GL3" s="288"/>
      <c r="GM3" s="288"/>
      <c r="GN3" s="288"/>
      <c r="GO3" s="288"/>
      <c r="GP3" s="288"/>
      <c r="GQ3" s="288"/>
      <c r="GR3" s="288"/>
      <c r="GS3" s="288"/>
      <c r="GT3" s="288"/>
      <c r="GU3" s="288"/>
      <c r="GV3" s="288"/>
      <c r="GW3" s="288"/>
      <c r="GX3" s="288"/>
      <c r="GY3" s="288"/>
      <c r="HW3" s="288" t="str">
        <f>[1]List1!$A$14</f>
        <v>3. kolo</v>
      </c>
      <c r="HX3" s="288"/>
      <c r="HY3" s="288"/>
      <c r="HZ3" s="288"/>
      <c r="IA3" s="288"/>
      <c r="IB3" s="288"/>
      <c r="IC3" s="288"/>
      <c r="ID3" s="288"/>
      <c r="IE3" s="288"/>
      <c r="IF3" s="288"/>
      <c r="IG3" s="288"/>
      <c r="IH3" s="288"/>
      <c r="II3" s="288"/>
      <c r="IJ3" s="288"/>
      <c r="IK3" s="288"/>
      <c r="IL3" s="288"/>
      <c r="IM3" s="288"/>
      <c r="IN3" s="288"/>
      <c r="IO3" s="288"/>
      <c r="IP3" s="288"/>
      <c r="IQ3" s="288"/>
      <c r="IR3" s="288"/>
      <c r="IS3" s="288"/>
      <c r="IT3" s="288"/>
      <c r="IU3" s="288"/>
      <c r="IV3" s="288"/>
      <c r="IW3" s="288"/>
    </row>
    <row r="4" spans="1:259" s="53" customFormat="1" ht="28.5" customHeight="1" thickTop="1" x14ac:dyDescent="0.25">
      <c r="A4" s="37" t="str">
        <f>CONCATENATE([1]List1!$A$4)</f>
        <v>Datum:</v>
      </c>
      <c r="B4" s="36"/>
      <c r="C4" s="36"/>
      <c r="D4" s="115" t="str">
        <f>'[2]Základní údaje'!$B$4</f>
        <v xml:space="preserve"> 27.1.2024 </v>
      </c>
      <c r="E4" s="86" t="str">
        <f>CONCATENATE([1]List1!$A$5)</f>
        <v>Hmotnost:</v>
      </c>
      <c r="F4" s="291" t="str">
        <f>IF(Z23=1,(CONCATENATE(AA6," ",L4," kg")),T35)</f>
        <v>A příp 39 kg</v>
      </c>
      <c r="G4" s="291"/>
      <c r="H4" s="86" t="str">
        <f>CONCATENATE([1]List1!$A$6)</f>
        <v>styl:</v>
      </c>
      <c r="I4" s="37" t="str">
        <f>O12</f>
        <v>v.s.</v>
      </c>
      <c r="K4" s="67" t="str">
        <f>$E$4</f>
        <v>Hmotnost:</v>
      </c>
      <c r="L4" s="89">
        <f>C7</f>
        <v>39</v>
      </c>
      <c r="M4" s="67" t="s">
        <v>2</v>
      </c>
      <c r="N4" s="67"/>
      <c r="O4" s="36"/>
      <c r="U4" s="36"/>
      <c r="V4" s="36"/>
      <c r="W4" s="36"/>
      <c r="Y4" s="36"/>
      <c r="Z4" s="36"/>
      <c r="AE4" s="36"/>
      <c r="AF4" s="36"/>
      <c r="AG4" s="36"/>
      <c r="AH4" s="36"/>
      <c r="AI4" s="138">
        <f>AJ4</f>
        <v>32</v>
      </c>
      <c r="AJ4" s="36">
        <v>32</v>
      </c>
      <c r="AK4" s="149">
        <f>AJ4</f>
        <v>32</v>
      </c>
      <c r="AL4" s="36">
        <f>AM4</f>
        <v>31</v>
      </c>
      <c r="AM4" s="36">
        <f>AJ4-1</f>
        <v>31</v>
      </c>
      <c r="AN4" s="36">
        <f>AM4</f>
        <v>31</v>
      </c>
      <c r="AO4" s="138">
        <f>AP4</f>
        <v>30</v>
      </c>
      <c r="AP4" s="36">
        <f>AM4-1</f>
        <v>30</v>
      </c>
      <c r="AQ4" s="149">
        <f>AP4</f>
        <v>30</v>
      </c>
      <c r="AR4" s="36">
        <f>AS4</f>
        <v>29</v>
      </c>
      <c r="AS4" s="36">
        <f>AP4-1</f>
        <v>29</v>
      </c>
      <c r="AT4" s="36">
        <f>AS4</f>
        <v>29</v>
      </c>
      <c r="AU4" s="138">
        <f>AV4</f>
        <v>28</v>
      </c>
      <c r="AV4" s="36">
        <f>AS4-1</f>
        <v>28</v>
      </c>
      <c r="AW4" s="149">
        <f>AV4</f>
        <v>28</v>
      </c>
      <c r="AX4" s="36">
        <f>AY4</f>
        <v>27</v>
      </c>
      <c r="AY4" s="36">
        <f>AV4-1</f>
        <v>27</v>
      </c>
      <c r="AZ4" s="36">
        <f>AY4</f>
        <v>27</v>
      </c>
      <c r="BA4" s="138">
        <f>BB4</f>
        <v>26</v>
      </c>
      <c r="BB4" s="36">
        <f>AY4-1</f>
        <v>26</v>
      </c>
      <c r="BC4" s="149">
        <f>BB4</f>
        <v>26</v>
      </c>
      <c r="BD4" s="36">
        <f>BE4</f>
        <v>25</v>
      </c>
      <c r="BE4" s="36">
        <f>BB4-1</f>
        <v>25</v>
      </c>
      <c r="BF4" s="36">
        <f>BE4</f>
        <v>25</v>
      </c>
      <c r="BG4" s="138">
        <f>BH4</f>
        <v>24</v>
      </c>
      <c r="BH4" s="36">
        <f>BE4-1</f>
        <v>24</v>
      </c>
      <c r="BI4" s="149">
        <f>BH4</f>
        <v>24</v>
      </c>
      <c r="BJ4" s="36">
        <f>BK4</f>
        <v>23</v>
      </c>
      <c r="BK4" s="36">
        <f>BH4-1</f>
        <v>23</v>
      </c>
      <c r="BL4" s="36">
        <f>BK4</f>
        <v>23</v>
      </c>
      <c r="BM4" s="138">
        <f>BN4</f>
        <v>22</v>
      </c>
      <c r="BN4" s="36">
        <f>BK4-1</f>
        <v>22</v>
      </c>
      <c r="BO4" s="149">
        <f>BN4</f>
        <v>22</v>
      </c>
      <c r="BP4" s="36">
        <f>BQ4</f>
        <v>21</v>
      </c>
      <c r="BQ4" s="36">
        <f>BN4-1</f>
        <v>21</v>
      </c>
      <c r="BR4" s="36">
        <f>BQ4</f>
        <v>21</v>
      </c>
      <c r="BS4" s="138">
        <f>BT4</f>
        <v>20</v>
      </c>
      <c r="BT4" s="36">
        <f>BQ4-1</f>
        <v>20</v>
      </c>
      <c r="BU4" s="149">
        <f>BT4</f>
        <v>20</v>
      </c>
      <c r="BV4" s="36">
        <f>BW4</f>
        <v>19</v>
      </c>
      <c r="BW4" s="36">
        <f>BT4-1</f>
        <v>19</v>
      </c>
      <c r="BX4" s="36">
        <f>BW4</f>
        <v>19</v>
      </c>
      <c r="BY4" s="138">
        <f>BZ4</f>
        <v>18</v>
      </c>
      <c r="BZ4" s="36">
        <f>BW4-1</f>
        <v>18</v>
      </c>
      <c r="CA4" s="149">
        <f>BZ4</f>
        <v>18</v>
      </c>
      <c r="CB4" s="36">
        <f>CC4</f>
        <v>17</v>
      </c>
      <c r="CC4" s="36">
        <f>BZ4-1</f>
        <v>17</v>
      </c>
      <c r="CD4" s="36">
        <f>CC4</f>
        <v>17</v>
      </c>
      <c r="CE4" s="138">
        <f>CF4</f>
        <v>16</v>
      </c>
      <c r="CF4" s="36">
        <f>CC4-1</f>
        <v>16</v>
      </c>
      <c r="CG4" s="149">
        <f>CF4</f>
        <v>16</v>
      </c>
      <c r="CH4" s="36">
        <f>CI4</f>
        <v>15</v>
      </c>
      <c r="CI4" s="36">
        <f>CF4-1</f>
        <v>15</v>
      </c>
      <c r="CJ4" s="36">
        <f>CI4</f>
        <v>15</v>
      </c>
      <c r="CK4" s="138">
        <f>CL4</f>
        <v>14</v>
      </c>
      <c r="CL4" s="36">
        <f>CI4-1</f>
        <v>14</v>
      </c>
      <c r="CM4" s="149">
        <f>CL4</f>
        <v>14</v>
      </c>
      <c r="CN4" s="36">
        <f>CO4</f>
        <v>13</v>
      </c>
      <c r="CO4" s="36">
        <f>CL4-1</f>
        <v>13</v>
      </c>
      <c r="CP4" s="36">
        <f>CO4</f>
        <v>13</v>
      </c>
      <c r="CQ4" s="138">
        <f>CR4</f>
        <v>12</v>
      </c>
      <c r="CR4" s="36">
        <f>CO4-1</f>
        <v>12</v>
      </c>
      <c r="CS4" s="149">
        <f>CR4</f>
        <v>12</v>
      </c>
      <c r="CT4" s="36">
        <f>CU4</f>
        <v>11</v>
      </c>
      <c r="CU4" s="36">
        <f>CR4-1</f>
        <v>11</v>
      </c>
      <c r="CV4" s="36">
        <f>CU4</f>
        <v>11</v>
      </c>
      <c r="CW4" s="138">
        <f>CX4</f>
        <v>10</v>
      </c>
      <c r="CX4" s="36">
        <f>CU4-1</f>
        <v>10</v>
      </c>
      <c r="CY4" s="149">
        <f>CX4</f>
        <v>10</v>
      </c>
      <c r="CZ4" s="36">
        <f>DA4</f>
        <v>9</v>
      </c>
      <c r="DA4" s="36">
        <f>CX4-1</f>
        <v>9</v>
      </c>
      <c r="DB4" s="36">
        <f>DA4</f>
        <v>9</v>
      </c>
      <c r="DC4" s="138">
        <f>DD4</f>
        <v>8</v>
      </c>
      <c r="DD4" s="36">
        <f>DA4-1</f>
        <v>8</v>
      </c>
      <c r="DE4" s="149">
        <f>DD4</f>
        <v>8</v>
      </c>
      <c r="DF4" s="36">
        <f>DG4</f>
        <v>7</v>
      </c>
      <c r="DG4" s="36">
        <f>DD4-1</f>
        <v>7</v>
      </c>
      <c r="DH4" s="36">
        <f>DG4</f>
        <v>7</v>
      </c>
      <c r="DI4" s="138">
        <f>DJ4</f>
        <v>6</v>
      </c>
      <c r="DJ4" s="36">
        <f>DG4-1</f>
        <v>6</v>
      </c>
      <c r="DK4" s="149">
        <f>DJ4</f>
        <v>6</v>
      </c>
      <c r="DL4" s="36"/>
      <c r="DM4" s="36"/>
      <c r="DN4" s="36"/>
      <c r="DO4" s="36">
        <f>AI4</f>
        <v>32</v>
      </c>
      <c r="DP4" s="36">
        <f>DO4-1</f>
        <v>31</v>
      </c>
      <c r="DQ4" s="36">
        <f t="shared" ref="DQ4:EO4" si="0">DP4-1</f>
        <v>30</v>
      </c>
      <c r="DR4" s="36">
        <f t="shared" si="0"/>
        <v>29</v>
      </c>
      <c r="DS4" s="36">
        <f t="shared" si="0"/>
        <v>28</v>
      </c>
      <c r="DT4" s="36">
        <f t="shared" si="0"/>
        <v>27</v>
      </c>
      <c r="DU4" s="36">
        <f t="shared" si="0"/>
        <v>26</v>
      </c>
      <c r="DV4" s="36">
        <f t="shared" si="0"/>
        <v>25</v>
      </c>
      <c r="DW4" s="36">
        <f t="shared" si="0"/>
        <v>24</v>
      </c>
      <c r="DX4" s="36">
        <f t="shared" si="0"/>
        <v>23</v>
      </c>
      <c r="DY4" s="36">
        <f t="shared" si="0"/>
        <v>22</v>
      </c>
      <c r="DZ4" s="36">
        <f t="shared" si="0"/>
        <v>21</v>
      </c>
      <c r="EA4" s="36">
        <f t="shared" si="0"/>
        <v>20</v>
      </c>
      <c r="EB4" s="36">
        <f t="shared" si="0"/>
        <v>19</v>
      </c>
      <c r="EC4" s="36">
        <f t="shared" si="0"/>
        <v>18</v>
      </c>
      <c r="ED4" s="36">
        <f t="shared" si="0"/>
        <v>17</v>
      </c>
      <c r="EE4" s="36">
        <f t="shared" si="0"/>
        <v>16</v>
      </c>
      <c r="EF4" s="36">
        <f t="shared" si="0"/>
        <v>15</v>
      </c>
      <c r="EG4" s="36">
        <f t="shared" si="0"/>
        <v>14</v>
      </c>
      <c r="EH4" s="36">
        <f t="shared" si="0"/>
        <v>13</v>
      </c>
      <c r="EI4" s="36">
        <f t="shared" si="0"/>
        <v>12</v>
      </c>
      <c r="EJ4" s="36">
        <f t="shared" si="0"/>
        <v>11</v>
      </c>
      <c r="EK4" s="36">
        <f t="shared" si="0"/>
        <v>10</v>
      </c>
      <c r="EL4" s="36">
        <f t="shared" si="0"/>
        <v>9</v>
      </c>
      <c r="EM4" s="36">
        <f t="shared" si="0"/>
        <v>8</v>
      </c>
      <c r="EN4" s="36">
        <f t="shared" si="0"/>
        <v>7</v>
      </c>
      <c r="EO4" s="36">
        <f t="shared" si="0"/>
        <v>6</v>
      </c>
      <c r="EP4" s="36"/>
      <c r="EQ4" s="36"/>
      <c r="ER4" s="36"/>
      <c r="ES4" s="36"/>
      <c r="ET4" s="36">
        <f>AI4</f>
        <v>32</v>
      </c>
      <c r="EU4" s="36">
        <f>ET4-1</f>
        <v>31</v>
      </c>
      <c r="EV4" s="36">
        <f t="shared" ref="EV4:FT4" si="1">EU4-1</f>
        <v>30</v>
      </c>
      <c r="EW4" s="36">
        <f t="shared" si="1"/>
        <v>29</v>
      </c>
      <c r="EX4" s="36">
        <f t="shared" si="1"/>
        <v>28</v>
      </c>
      <c r="EY4" s="36">
        <f t="shared" si="1"/>
        <v>27</v>
      </c>
      <c r="EZ4" s="36">
        <f t="shared" si="1"/>
        <v>26</v>
      </c>
      <c r="FA4" s="36">
        <f t="shared" si="1"/>
        <v>25</v>
      </c>
      <c r="FB4" s="36">
        <f t="shared" si="1"/>
        <v>24</v>
      </c>
      <c r="FC4" s="36">
        <f t="shared" si="1"/>
        <v>23</v>
      </c>
      <c r="FD4" s="36">
        <f t="shared" si="1"/>
        <v>22</v>
      </c>
      <c r="FE4" s="36">
        <f t="shared" si="1"/>
        <v>21</v>
      </c>
      <c r="FF4" s="36">
        <f t="shared" si="1"/>
        <v>20</v>
      </c>
      <c r="FG4" s="36">
        <f t="shared" si="1"/>
        <v>19</v>
      </c>
      <c r="FH4" s="36">
        <f t="shared" si="1"/>
        <v>18</v>
      </c>
      <c r="FI4" s="36">
        <f t="shared" si="1"/>
        <v>17</v>
      </c>
      <c r="FJ4" s="36">
        <f t="shared" si="1"/>
        <v>16</v>
      </c>
      <c r="FK4" s="36">
        <f t="shared" si="1"/>
        <v>15</v>
      </c>
      <c r="FL4" s="36">
        <f t="shared" si="1"/>
        <v>14</v>
      </c>
      <c r="FM4" s="36">
        <f t="shared" si="1"/>
        <v>13</v>
      </c>
      <c r="FN4" s="36">
        <f t="shared" si="1"/>
        <v>12</v>
      </c>
      <c r="FO4" s="36">
        <f t="shared" si="1"/>
        <v>11</v>
      </c>
      <c r="FP4" s="36">
        <f t="shared" si="1"/>
        <v>10</v>
      </c>
      <c r="FQ4" s="36">
        <f t="shared" si="1"/>
        <v>9</v>
      </c>
      <c r="FR4" s="36">
        <f t="shared" si="1"/>
        <v>8</v>
      </c>
      <c r="FS4" s="36">
        <f t="shared" si="1"/>
        <v>7</v>
      </c>
      <c r="FT4" s="36">
        <f t="shared" si="1"/>
        <v>6</v>
      </c>
      <c r="FU4" s="36"/>
      <c r="FV4" s="36"/>
      <c r="FW4" s="36"/>
      <c r="FX4" s="36"/>
      <c r="FY4" s="36">
        <f>ET4</f>
        <v>32</v>
      </c>
      <c r="FZ4" s="36">
        <f>FY4-1</f>
        <v>31</v>
      </c>
      <c r="GA4" s="36">
        <f t="shared" ref="GA4:GY4" si="2">FZ4-1</f>
        <v>30</v>
      </c>
      <c r="GB4" s="36">
        <f t="shared" si="2"/>
        <v>29</v>
      </c>
      <c r="GC4" s="36">
        <f t="shared" si="2"/>
        <v>28</v>
      </c>
      <c r="GD4" s="36">
        <f t="shared" si="2"/>
        <v>27</v>
      </c>
      <c r="GE4" s="36">
        <f t="shared" si="2"/>
        <v>26</v>
      </c>
      <c r="GF4" s="36">
        <f t="shared" si="2"/>
        <v>25</v>
      </c>
      <c r="GG4" s="36">
        <f t="shared" si="2"/>
        <v>24</v>
      </c>
      <c r="GH4" s="36">
        <f t="shared" si="2"/>
        <v>23</v>
      </c>
      <c r="GI4" s="36">
        <f t="shared" si="2"/>
        <v>22</v>
      </c>
      <c r="GJ4" s="36">
        <f t="shared" si="2"/>
        <v>21</v>
      </c>
      <c r="GK4" s="36">
        <f t="shared" si="2"/>
        <v>20</v>
      </c>
      <c r="GL4" s="36">
        <f t="shared" si="2"/>
        <v>19</v>
      </c>
      <c r="GM4" s="36">
        <f t="shared" si="2"/>
        <v>18</v>
      </c>
      <c r="GN4" s="36">
        <f t="shared" si="2"/>
        <v>17</v>
      </c>
      <c r="GO4" s="36">
        <f t="shared" si="2"/>
        <v>16</v>
      </c>
      <c r="GP4" s="36">
        <f t="shared" si="2"/>
        <v>15</v>
      </c>
      <c r="GQ4" s="36">
        <f t="shared" si="2"/>
        <v>14</v>
      </c>
      <c r="GR4" s="36">
        <f t="shared" si="2"/>
        <v>13</v>
      </c>
      <c r="GS4" s="36">
        <f t="shared" si="2"/>
        <v>12</v>
      </c>
      <c r="GT4" s="36">
        <f t="shared" si="2"/>
        <v>11</v>
      </c>
      <c r="GU4" s="36">
        <f t="shared" si="2"/>
        <v>10</v>
      </c>
      <c r="GV4" s="36">
        <f t="shared" si="2"/>
        <v>9</v>
      </c>
      <c r="GW4" s="36">
        <f t="shared" si="2"/>
        <v>8</v>
      </c>
      <c r="GX4" s="36">
        <f t="shared" si="2"/>
        <v>7</v>
      </c>
      <c r="GY4" s="36">
        <f t="shared" si="2"/>
        <v>6</v>
      </c>
      <c r="GZ4" s="36"/>
      <c r="HA4" s="36"/>
      <c r="HB4" s="36"/>
      <c r="HC4" s="36"/>
      <c r="HD4" s="36" t="s">
        <v>16</v>
      </c>
      <c r="HE4" s="36"/>
      <c r="HF4" s="36"/>
      <c r="HG4" s="36"/>
      <c r="HH4" s="36"/>
      <c r="HI4" s="36"/>
      <c r="HJ4" s="36"/>
      <c r="HK4" s="67" t="str">
        <f>[1]List1!$A$11</f>
        <v>Tabulka kvalifikace</v>
      </c>
      <c r="HL4" s="36"/>
      <c r="HM4" s="36"/>
      <c r="HU4" s="36"/>
      <c r="HV4" s="36"/>
      <c r="HW4" s="36">
        <f>FY4</f>
        <v>32</v>
      </c>
      <c r="HX4" s="36">
        <f t="shared" ref="HX4:IW4" si="3">HW4-1</f>
        <v>31</v>
      </c>
      <c r="HY4" s="36">
        <f t="shared" si="3"/>
        <v>30</v>
      </c>
      <c r="HZ4" s="36">
        <f t="shared" si="3"/>
        <v>29</v>
      </c>
      <c r="IA4" s="36">
        <f t="shared" si="3"/>
        <v>28</v>
      </c>
      <c r="IB4" s="36">
        <f t="shared" si="3"/>
        <v>27</v>
      </c>
      <c r="IC4" s="36">
        <f t="shared" si="3"/>
        <v>26</v>
      </c>
      <c r="ID4" s="36">
        <f t="shared" si="3"/>
        <v>25</v>
      </c>
      <c r="IE4" s="36">
        <f t="shared" si="3"/>
        <v>24</v>
      </c>
      <c r="IF4" s="36">
        <f t="shared" si="3"/>
        <v>23</v>
      </c>
      <c r="IG4" s="36">
        <f t="shared" si="3"/>
        <v>22</v>
      </c>
      <c r="IH4" s="36">
        <f t="shared" si="3"/>
        <v>21</v>
      </c>
      <c r="II4" s="36">
        <f t="shared" si="3"/>
        <v>20</v>
      </c>
      <c r="IJ4" s="36">
        <f t="shared" si="3"/>
        <v>19</v>
      </c>
      <c r="IK4" s="36">
        <f t="shared" si="3"/>
        <v>18</v>
      </c>
      <c r="IL4" s="36">
        <f t="shared" si="3"/>
        <v>17</v>
      </c>
      <c r="IM4" s="36">
        <f t="shared" si="3"/>
        <v>16</v>
      </c>
      <c r="IN4" s="36">
        <f t="shared" si="3"/>
        <v>15</v>
      </c>
      <c r="IO4" s="36">
        <f t="shared" si="3"/>
        <v>14</v>
      </c>
      <c r="IP4" s="36">
        <f t="shared" si="3"/>
        <v>13</v>
      </c>
      <c r="IQ4" s="36">
        <f t="shared" si="3"/>
        <v>12</v>
      </c>
      <c r="IR4" s="36">
        <f t="shared" si="3"/>
        <v>11</v>
      </c>
      <c r="IS4" s="36">
        <f t="shared" si="3"/>
        <v>10</v>
      </c>
      <c r="IT4" s="36">
        <f t="shared" si="3"/>
        <v>9</v>
      </c>
      <c r="IU4" s="36">
        <f t="shared" si="3"/>
        <v>8</v>
      </c>
      <c r="IV4" s="36">
        <f t="shared" si="3"/>
        <v>7</v>
      </c>
      <c r="IW4" s="36">
        <f t="shared" si="3"/>
        <v>6</v>
      </c>
      <c r="IX4" s="36"/>
      <c r="IY4" s="36" t="s">
        <v>16</v>
      </c>
    </row>
    <row r="5" spans="1:259" ht="13.8" thickBot="1" x14ac:dyDescent="0.3">
      <c r="D5" s="78"/>
      <c r="E5" s="23"/>
      <c r="F5" s="69"/>
      <c r="G5" s="69"/>
      <c r="H5" s="23"/>
      <c r="I5" s="2"/>
      <c r="N5" s="294" t="str">
        <f>[1]List1!$A$198</f>
        <v>automatická volba - neměnit</v>
      </c>
      <c r="O5" s="294"/>
      <c r="P5" s="294"/>
      <c r="Q5" s="294"/>
      <c r="R5" s="294"/>
      <c r="AI5" s="138" t="str">
        <f>[1]List1!$A$52</f>
        <v>los</v>
      </c>
      <c r="AJ5" s="36">
        <v>1</v>
      </c>
      <c r="AK5" s="149">
        <v>2</v>
      </c>
      <c r="AL5" s="36" t="str">
        <f t="shared" ref="AL5:BQ5" si="4">AI5</f>
        <v>los</v>
      </c>
      <c r="AM5" s="36">
        <f t="shared" si="4"/>
        <v>1</v>
      </c>
      <c r="AN5" s="36">
        <f t="shared" si="4"/>
        <v>2</v>
      </c>
      <c r="AO5" s="138" t="str">
        <f t="shared" si="4"/>
        <v>los</v>
      </c>
      <c r="AP5" s="36">
        <f t="shared" si="4"/>
        <v>1</v>
      </c>
      <c r="AQ5" s="149">
        <f t="shared" si="4"/>
        <v>2</v>
      </c>
      <c r="AR5" s="36" t="str">
        <f t="shared" si="4"/>
        <v>los</v>
      </c>
      <c r="AS5" s="36">
        <f t="shared" si="4"/>
        <v>1</v>
      </c>
      <c r="AT5" s="36">
        <f t="shared" si="4"/>
        <v>2</v>
      </c>
      <c r="AU5" s="138" t="str">
        <f t="shared" si="4"/>
        <v>los</v>
      </c>
      <c r="AV5" s="36">
        <f t="shared" si="4"/>
        <v>1</v>
      </c>
      <c r="AW5" s="149">
        <f t="shared" si="4"/>
        <v>2</v>
      </c>
      <c r="AX5" s="36" t="str">
        <f t="shared" si="4"/>
        <v>los</v>
      </c>
      <c r="AY5" s="36">
        <f t="shared" si="4"/>
        <v>1</v>
      </c>
      <c r="AZ5" s="36">
        <f t="shared" si="4"/>
        <v>2</v>
      </c>
      <c r="BA5" s="138" t="str">
        <f t="shared" si="4"/>
        <v>los</v>
      </c>
      <c r="BB5" s="36">
        <f t="shared" si="4"/>
        <v>1</v>
      </c>
      <c r="BC5" s="149">
        <f t="shared" si="4"/>
        <v>2</v>
      </c>
      <c r="BD5" s="36" t="str">
        <f t="shared" si="4"/>
        <v>los</v>
      </c>
      <c r="BE5" s="36">
        <f t="shared" si="4"/>
        <v>1</v>
      </c>
      <c r="BF5" s="36">
        <f t="shared" si="4"/>
        <v>2</v>
      </c>
      <c r="BG5" s="138" t="str">
        <f t="shared" si="4"/>
        <v>los</v>
      </c>
      <c r="BH5" s="36">
        <f t="shared" si="4"/>
        <v>1</v>
      </c>
      <c r="BI5" s="149">
        <f t="shared" si="4"/>
        <v>2</v>
      </c>
      <c r="BJ5" s="36" t="str">
        <f t="shared" si="4"/>
        <v>los</v>
      </c>
      <c r="BK5" s="36">
        <f t="shared" si="4"/>
        <v>1</v>
      </c>
      <c r="BL5" s="36">
        <f t="shared" si="4"/>
        <v>2</v>
      </c>
      <c r="BM5" s="138" t="str">
        <f t="shared" si="4"/>
        <v>los</v>
      </c>
      <c r="BN5" s="36">
        <f t="shared" si="4"/>
        <v>1</v>
      </c>
      <c r="BO5" s="149">
        <f t="shared" si="4"/>
        <v>2</v>
      </c>
      <c r="BP5" s="36" t="str">
        <f t="shared" si="4"/>
        <v>los</v>
      </c>
      <c r="BQ5" s="36">
        <f t="shared" si="4"/>
        <v>1</v>
      </c>
      <c r="BR5" s="36">
        <f t="shared" ref="BR5:CW5" si="5">BO5</f>
        <v>2</v>
      </c>
      <c r="BS5" s="138" t="str">
        <f t="shared" si="5"/>
        <v>los</v>
      </c>
      <c r="BT5" s="36">
        <f t="shared" si="5"/>
        <v>1</v>
      </c>
      <c r="BU5" s="149">
        <f t="shared" si="5"/>
        <v>2</v>
      </c>
      <c r="BV5" s="36" t="str">
        <f t="shared" si="5"/>
        <v>los</v>
      </c>
      <c r="BW5" s="36">
        <f t="shared" si="5"/>
        <v>1</v>
      </c>
      <c r="BX5" s="36">
        <f t="shared" si="5"/>
        <v>2</v>
      </c>
      <c r="BY5" s="138" t="str">
        <f t="shared" si="5"/>
        <v>los</v>
      </c>
      <c r="BZ5" s="36">
        <f t="shared" si="5"/>
        <v>1</v>
      </c>
      <c r="CA5" s="149">
        <f t="shared" si="5"/>
        <v>2</v>
      </c>
      <c r="CB5" s="36" t="str">
        <f t="shared" si="5"/>
        <v>los</v>
      </c>
      <c r="CC5" s="36">
        <f t="shared" si="5"/>
        <v>1</v>
      </c>
      <c r="CD5" s="36">
        <f t="shared" si="5"/>
        <v>2</v>
      </c>
      <c r="CE5" s="138" t="str">
        <f t="shared" si="5"/>
        <v>los</v>
      </c>
      <c r="CF5" s="36">
        <f t="shared" si="5"/>
        <v>1</v>
      </c>
      <c r="CG5" s="149">
        <f t="shared" si="5"/>
        <v>2</v>
      </c>
      <c r="CH5" s="36" t="str">
        <f t="shared" si="5"/>
        <v>los</v>
      </c>
      <c r="CI5" s="36">
        <f t="shared" si="5"/>
        <v>1</v>
      </c>
      <c r="CJ5" s="36">
        <f t="shared" si="5"/>
        <v>2</v>
      </c>
      <c r="CK5" s="138" t="str">
        <f t="shared" si="5"/>
        <v>los</v>
      </c>
      <c r="CL5" s="36">
        <f t="shared" si="5"/>
        <v>1</v>
      </c>
      <c r="CM5" s="149">
        <f t="shared" si="5"/>
        <v>2</v>
      </c>
      <c r="CN5" s="36" t="str">
        <f t="shared" si="5"/>
        <v>los</v>
      </c>
      <c r="CO5" s="36">
        <f t="shared" si="5"/>
        <v>1</v>
      </c>
      <c r="CP5" s="36">
        <f t="shared" si="5"/>
        <v>2</v>
      </c>
      <c r="CQ5" s="138" t="str">
        <f t="shared" si="5"/>
        <v>los</v>
      </c>
      <c r="CR5" s="36">
        <f t="shared" si="5"/>
        <v>1</v>
      </c>
      <c r="CS5" s="149">
        <f t="shared" si="5"/>
        <v>2</v>
      </c>
      <c r="CT5" s="36" t="str">
        <f t="shared" si="5"/>
        <v>los</v>
      </c>
      <c r="CU5" s="36">
        <f t="shared" si="5"/>
        <v>1</v>
      </c>
      <c r="CV5" s="36">
        <f t="shared" si="5"/>
        <v>2</v>
      </c>
      <c r="CW5" s="138" t="str">
        <f t="shared" si="5"/>
        <v>los</v>
      </c>
      <c r="CX5" s="36">
        <f t="shared" ref="CX5:DK5" si="6">CU5</f>
        <v>1</v>
      </c>
      <c r="CY5" s="149">
        <f t="shared" si="6"/>
        <v>2</v>
      </c>
      <c r="CZ5" s="36" t="str">
        <f t="shared" si="6"/>
        <v>los</v>
      </c>
      <c r="DA5" s="36">
        <f t="shared" si="6"/>
        <v>1</v>
      </c>
      <c r="DB5" s="36">
        <f t="shared" si="6"/>
        <v>2</v>
      </c>
      <c r="DC5" s="138" t="str">
        <f t="shared" si="6"/>
        <v>los</v>
      </c>
      <c r="DD5" s="36">
        <f t="shared" si="6"/>
        <v>1</v>
      </c>
      <c r="DE5" s="149">
        <f t="shared" si="6"/>
        <v>2</v>
      </c>
      <c r="DF5" s="36" t="str">
        <f t="shared" si="6"/>
        <v>los</v>
      </c>
      <c r="DG5" s="36">
        <f t="shared" si="6"/>
        <v>1</v>
      </c>
      <c r="DH5" s="36">
        <f t="shared" si="6"/>
        <v>2</v>
      </c>
      <c r="DI5" s="138" t="str">
        <f t="shared" si="6"/>
        <v>los</v>
      </c>
      <c r="DJ5" s="36">
        <f t="shared" si="6"/>
        <v>1</v>
      </c>
      <c r="DK5" s="149">
        <f t="shared" si="6"/>
        <v>2</v>
      </c>
      <c r="ES5" s="36" t="str">
        <f>AE1</f>
        <v>VL</v>
      </c>
      <c r="EV5" s="36">
        <v>1</v>
      </c>
      <c r="EW5" s="36">
        <v>1</v>
      </c>
      <c r="EZ5" s="36">
        <v>1</v>
      </c>
      <c r="FA5" s="36">
        <v>1</v>
      </c>
      <c r="FD5" s="36">
        <v>1</v>
      </c>
      <c r="FE5" s="36">
        <v>1</v>
      </c>
      <c r="FH5" s="36">
        <v>1</v>
      </c>
      <c r="FI5" s="36">
        <v>1</v>
      </c>
      <c r="FL5" s="36">
        <v>1</v>
      </c>
      <c r="FM5" s="36">
        <v>1</v>
      </c>
      <c r="FP5" s="36">
        <v>1</v>
      </c>
      <c r="FQ5" s="36">
        <v>1</v>
      </c>
      <c r="FX5" s="36" t="str">
        <f>ES5</f>
        <v>VL</v>
      </c>
      <c r="GA5" s="36">
        <v>1</v>
      </c>
      <c r="GB5" s="36">
        <v>1</v>
      </c>
      <c r="GE5" s="36">
        <v>1</v>
      </c>
      <c r="GF5" s="36">
        <v>1</v>
      </c>
      <c r="GI5" s="36">
        <v>1</v>
      </c>
      <c r="GJ5" s="36">
        <v>1</v>
      </c>
      <c r="GM5" s="36">
        <v>1</v>
      </c>
      <c r="GN5" s="36">
        <v>1</v>
      </c>
      <c r="GQ5" s="36">
        <v>1</v>
      </c>
      <c r="GR5" s="36">
        <v>1</v>
      </c>
      <c r="GU5" s="36">
        <v>1</v>
      </c>
      <c r="GV5" s="36">
        <v>1</v>
      </c>
      <c r="GY5" s="36">
        <v>1</v>
      </c>
      <c r="HE5" s="36" t="str">
        <f>AE1</f>
        <v>VL</v>
      </c>
      <c r="HF5" s="36">
        <f>IF($HF$2&lt;=5,0,(INDEX($ET$5:$FT$5,1,HD1)))</f>
        <v>0</v>
      </c>
      <c r="HG5" s="36">
        <f>IF($HF$2&lt;=5,0,(INDEX($FY$5:$GY$5,1,HD1)))</f>
        <v>1</v>
      </c>
      <c r="HV5" s="36" t="str">
        <f>HE5</f>
        <v>VL</v>
      </c>
      <c r="HY5" s="36">
        <v>1</v>
      </c>
      <c r="HZ5" s="36">
        <v>1</v>
      </c>
      <c r="IC5" s="36">
        <v>1</v>
      </c>
      <c r="ID5" s="36">
        <v>1</v>
      </c>
      <c r="IG5" s="36">
        <v>1</v>
      </c>
      <c r="IH5" s="36">
        <v>1</v>
      </c>
      <c r="IK5" s="36">
        <v>1</v>
      </c>
      <c r="IL5" s="36">
        <v>1</v>
      </c>
      <c r="IO5" s="36">
        <v>1</v>
      </c>
      <c r="IP5" s="36">
        <v>1</v>
      </c>
      <c r="IS5" s="36">
        <v>1</v>
      </c>
      <c r="IT5" s="36">
        <v>1</v>
      </c>
      <c r="IW5" s="36">
        <v>1</v>
      </c>
      <c r="IY5" s="36">
        <f>IF($HF$2&lt;=5,0,(INDEX($HW$5:$IW$5,1,$HD$1)))</f>
        <v>1</v>
      </c>
    </row>
    <row r="6" spans="1:259" ht="27" thickBot="1" x14ac:dyDescent="0.3">
      <c r="A6" s="116" t="str">
        <f>[1]List1!$B$3</f>
        <v>číslo</v>
      </c>
      <c r="B6" s="105" t="str">
        <f>'[3]Rozdělení do hmotností'!$B$69</f>
        <v>U13</v>
      </c>
      <c r="C6" s="106">
        <f>'[3]Rozdělení do hmotností'!$C$69</f>
        <v>0</v>
      </c>
      <c r="D6" s="107" t="str">
        <f>CONCATENATE([1]List1!$B$4)</f>
        <v>příjmení a jméno</v>
      </c>
      <c r="E6" s="7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290" t="str">
        <f>[1]List1!$A$7</f>
        <v>věk. kat.</v>
      </c>
      <c r="L6" s="290"/>
      <c r="M6" s="36"/>
      <c r="N6" s="288" t="str">
        <f>[1]List1!$A$6</f>
        <v>styl:</v>
      </c>
      <c r="O6" s="288"/>
      <c r="Q6" s="72" t="str">
        <f>[1]List1!$A$197</f>
        <v>čas periody</v>
      </c>
      <c r="R6" s="36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>1111110000000001</v>
      </c>
      <c r="AH6" s="83"/>
      <c r="AI6" s="142"/>
      <c r="AJ6" s="83"/>
      <c r="AK6" s="143"/>
      <c r="AL6" s="83"/>
      <c r="AM6" s="83"/>
      <c r="AN6" s="83"/>
      <c r="AO6" s="142"/>
      <c r="AP6" s="83"/>
      <c r="AQ6" s="143"/>
      <c r="AR6" s="83"/>
      <c r="AS6" s="83"/>
      <c r="AT6" s="83"/>
      <c r="AU6" s="142"/>
      <c r="AV6" s="83"/>
      <c r="AW6" s="143"/>
      <c r="AX6" s="83"/>
      <c r="AY6" s="83"/>
      <c r="AZ6" s="83"/>
      <c r="BA6" s="142"/>
      <c r="BB6" s="83"/>
      <c r="BC6" s="143"/>
      <c r="BD6" s="83"/>
      <c r="BE6" s="83"/>
      <c r="BF6" s="83"/>
      <c r="BG6" s="142"/>
      <c r="BH6" s="83"/>
      <c r="BI6" s="143"/>
      <c r="BJ6" s="83"/>
      <c r="BK6" s="83"/>
      <c r="BL6" s="83"/>
      <c r="BM6" s="142"/>
      <c r="BN6" s="83"/>
      <c r="BO6" s="143"/>
      <c r="BP6" s="83"/>
      <c r="BQ6" s="83"/>
      <c r="BR6" s="83"/>
      <c r="BS6" s="142"/>
      <c r="BT6" s="83"/>
      <c r="BU6" s="143"/>
      <c r="BV6" s="83"/>
      <c r="BW6" s="83"/>
      <c r="BX6" s="83"/>
      <c r="BY6" s="142"/>
      <c r="BZ6" s="83"/>
      <c r="CA6" s="143"/>
      <c r="CB6" s="83"/>
      <c r="CC6" s="83"/>
      <c r="CD6" s="83"/>
      <c r="CE6" s="142"/>
      <c r="CF6" s="83"/>
      <c r="CG6" s="143"/>
      <c r="CH6" s="83"/>
      <c r="CI6" s="83"/>
      <c r="CJ6" s="83"/>
      <c r="CK6" s="142"/>
      <c r="CL6" s="83"/>
      <c r="CM6" s="143"/>
      <c r="CN6" s="83"/>
      <c r="CO6" s="83"/>
      <c r="CP6" s="83"/>
      <c r="CQ6" s="142"/>
      <c r="CR6" s="83"/>
      <c r="CS6" s="143"/>
      <c r="CT6" s="83"/>
      <c r="CU6" s="83"/>
      <c r="CV6" s="83"/>
      <c r="CW6" s="142"/>
      <c r="CX6" s="83"/>
      <c r="CY6" s="143"/>
      <c r="CZ6" s="83"/>
      <c r="DA6" s="83"/>
      <c r="DB6" s="83"/>
      <c r="DC6" s="142"/>
      <c r="DD6" s="83"/>
      <c r="DE6" s="143"/>
      <c r="DF6" s="83"/>
      <c r="DG6" s="83"/>
      <c r="DH6" s="83"/>
      <c r="DI6" s="142"/>
      <c r="DJ6" s="83"/>
      <c r="DK6" s="143"/>
      <c r="DO6" s="36">
        <v>1</v>
      </c>
      <c r="DP6" s="36">
        <f>DO6+1</f>
        <v>2</v>
      </c>
      <c r="DQ6" s="36">
        <f t="shared" ref="DQ6:EO6" si="7">DP6+1</f>
        <v>3</v>
      </c>
      <c r="DR6" s="36">
        <f t="shared" si="7"/>
        <v>4</v>
      </c>
      <c r="DS6" s="36">
        <f t="shared" si="7"/>
        <v>5</v>
      </c>
      <c r="DT6" s="36">
        <f t="shared" si="7"/>
        <v>6</v>
      </c>
      <c r="DU6" s="36">
        <f t="shared" si="7"/>
        <v>7</v>
      </c>
      <c r="DV6" s="36">
        <f t="shared" si="7"/>
        <v>8</v>
      </c>
      <c r="DW6" s="36">
        <f t="shared" si="7"/>
        <v>9</v>
      </c>
      <c r="DX6" s="36">
        <f t="shared" si="7"/>
        <v>10</v>
      </c>
      <c r="DY6" s="36">
        <f t="shared" si="7"/>
        <v>11</v>
      </c>
      <c r="DZ6" s="36">
        <f t="shared" si="7"/>
        <v>12</v>
      </c>
      <c r="EA6" s="36">
        <f t="shared" si="7"/>
        <v>13</v>
      </c>
      <c r="EB6" s="36">
        <f t="shared" si="7"/>
        <v>14</v>
      </c>
      <c r="EC6" s="36">
        <f t="shared" si="7"/>
        <v>15</v>
      </c>
      <c r="ED6" s="36">
        <f t="shared" si="7"/>
        <v>16</v>
      </c>
      <c r="EE6" s="36">
        <f t="shared" si="7"/>
        <v>17</v>
      </c>
      <c r="EF6" s="36">
        <f t="shared" si="7"/>
        <v>18</v>
      </c>
      <c r="EG6" s="36">
        <f t="shared" si="7"/>
        <v>19</v>
      </c>
      <c r="EH6" s="36">
        <f t="shared" si="7"/>
        <v>20</v>
      </c>
      <c r="EI6" s="36">
        <f t="shared" si="7"/>
        <v>21</v>
      </c>
      <c r="EJ6" s="36">
        <f t="shared" si="7"/>
        <v>22</v>
      </c>
      <c r="EK6" s="36">
        <f t="shared" si="7"/>
        <v>23</v>
      </c>
      <c r="EL6" s="36">
        <f t="shared" si="7"/>
        <v>24</v>
      </c>
      <c r="EM6" s="36">
        <f t="shared" si="7"/>
        <v>25</v>
      </c>
      <c r="EN6" s="36">
        <f t="shared" si="7"/>
        <v>26</v>
      </c>
      <c r="EO6" s="36">
        <f t="shared" si="7"/>
        <v>27</v>
      </c>
      <c r="ET6" s="36">
        <v>1</v>
      </c>
      <c r="EU6" s="36">
        <f>ET6+1</f>
        <v>2</v>
      </c>
      <c r="EV6" s="36">
        <f t="shared" ref="EV6:FT6" si="8">EU6+1</f>
        <v>3</v>
      </c>
      <c r="EW6" s="36">
        <f t="shared" si="8"/>
        <v>4</v>
      </c>
      <c r="EX6" s="36">
        <f t="shared" si="8"/>
        <v>5</v>
      </c>
      <c r="EY6" s="36">
        <f t="shared" si="8"/>
        <v>6</v>
      </c>
      <c r="EZ6" s="36">
        <f t="shared" si="8"/>
        <v>7</v>
      </c>
      <c r="FA6" s="36">
        <f t="shared" si="8"/>
        <v>8</v>
      </c>
      <c r="FB6" s="36">
        <f t="shared" si="8"/>
        <v>9</v>
      </c>
      <c r="FC6" s="36">
        <f t="shared" si="8"/>
        <v>10</v>
      </c>
      <c r="FD6" s="36">
        <f t="shared" si="8"/>
        <v>11</v>
      </c>
      <c r="FE6" s="36">
        <f t="shared" si="8"/>
        <v>12</v>
      </c>
      <c r="FF6" s="36">
        <f t="shared" si="8"/>
        <v>13</v>
      </c>
      <c r="FG6" s="36">
        <f t="shared" si="8"/>
        <v>14</v>
      </c>
      <c r="FH6" s="36">
        <f t="shared" si="8"/>
        <v>15</v>
      </c>
      <c r="FI6" s="36">
        <f t="shared" si="8"/>
        <v>16</v>
      </c>
      <c r="FJ6" s="36">
        <f t="shared" si="8"/>
        <v>17</v>
      </c>
      <c r="FK6" s="36">
        <f t="shared" si="8"/>
        <v>18</v>
      </c>
      <c r="FL6" s="36">
        <f t="shared" si="8"/>
        <v>19</v>
      </c>
      <c r="FM6" s="36">
        <f t="shared" si="8"/>
        <v>20</v>
      </c>
      <c r="FN6" s="36">
        <f t="shared" si="8"/>
        <v>21</v>
      </c>
      <c r="FO6" s="36">
        <f t="shared" si="8"/>
        <v>22</v>
      </c>
      <c r="FP6" s="36">
        <f t="shared" si="8"/>
        <v>23</v>
      </c>
      <c r="FQ6" s="36">
        <f t="shared" si="8"/>
        <v>24</v>
      </c>
      <c r="FR6" s="36">
        <f t="shared" si="8"/>
        <v>25</v>
      </c>
      <c r="FS6" s="36">
        <f t="shared" si="8"/>
        <v>26</v>
      </c>
      <c r="FT6" s="36">
        <f t="shared" si="8"/>
        <v>27</v>
      </c>
      <c r="FY6" s="36">
        <v>1</v>
      </c>
      <c r="FZ6" s="36">
        <f>FY6+1</f>
        <v>2</v>
      </c>
      <c r="GA6" s="36">
        <f t="shared" ref="GA6:GY6" si="9">FZ6+1</f>
        <v>3</v>
      </c>
      <c r="GB6" s="36">
        <f t="shared" si="9"/>
        <v>4</v>
      </c>
      <c r="GC6" s="36">
        <f t="shared" si="9"/>
        <v>5</v>
      </c>
      <c r="GD6" s="36">
        <f t="shared" si="9"/>
        <v>6</v>
      </c>
      <c r="GE6" s="36">
        <f t="shared" si="9"/>
        <v>7</v>
      </c>
      <c r="GF6" s="36">
        <f t="shared" si="9"/>
        <v>8</v>
      </c>
      <c r="GG6" s="36">
        <f t="shared" si="9"/>
        <v>9</v>
      </c>
      <c r="GH6" s="36">
        <f t="shared" si="9"/>
        <v>10</v>
      </c>
      <c r="GI6" s="36">
        <f t="shared" si="9"/>
        <v>11</v>
      </c>
      <c r="GJ6" s="36">
        <f t="shared" si="9"/>
        <v>12</v>
      </c>
      <c r="GK6" s="36">
        <f t="shared" si="9"/>
        <v>13</v>
      </c>
      <c r="GL6" s="36">
        <f t="shared" si="9"/>
        <v>14</v>
      </c>
      <c r="GM6" s="36">
        <f t="shared" si="9"/>
        <v>15</v>
      </c>
      <c r="GN6" s="36">
        <f t="shared" si="9"/>
        <v>16</v>
      </c>
      <c r="GO6" s="36">
        <f t="shared" si="9"/>
        <v>17</v>
      </c>
      <c r="GP6" s="36">
        <f t="shared" si="9"/>
        <v>18</v>
      </c>
      <c r="GQ6" s="36">
        <f t="shared" si="9"/>
        <v>19</v>
      </c>
      <c r="GR6" s="36">
        <f t="shared" si="9"/>
        <v>20</v>
      </c>
      <c r="GS6" s="36">
        <f t="shared" si="9"/>
        <v>21</v>
      </c>
      <c r="GT6" s="36">
        <f t="shared" si="9"/>
        <v>22</v>
      </c>
      <c r="GU6" s="36">
        <f t="shared" si="9"/>
        <v>23</v>
      </c>
      <c r="GV6" s="36">
        <f t="shared" si="9"/>
        <v>24</v>
      </c>
      <c r="GW6" s="36">
        <f t="shared" si="9"/>
        <v>25</v>
      </c>
      <c r="GX6" s="36">
        <f t="shared" si="9"/>
        <v>26</v>
      </c>
      <c r="GY6" s="36">
        <f t="shared" si="9"/>
        <v>27</v>
      </c>
      <c r="HE6" s="36" t="str">
        <f>DO3</f>
        <v>los</v>
      </c>
      <c r="HF6" s="36">
        <v>1</v>
      </c>
      <c r="HG6" s="36">
        <v>2</v>
      </c>
      <c r="HK6" s="36" t="str">
        <f>HE6</f>
        <v>los</v>
      </c>
      <c r="HL6" s="36">
        <f>HF6</f>
        <v>1</v>
      </c>
      <c r="HM6" s="36">
        <f>HG6</f>
        <v>2</v>
      </c>
      <c r="HW6" s="36">
        <v>1</v>
      </c>
      <c r="HX6" s="83">
        <f t="shared" ref="HX6:IW6" si="10">HW6+1</f>
        <v>2</v>
      </c>
      <c r="HY6" s="36">
        <f t="shared" si="10"/>
        <v>3</v>
      </c>
      <c r="HZ6" s="36">
        <f t="shared" si="10"/>
        <v>4</v>
      </c>
      <c r="IA6" s="36">
        <f t="shared" si="10"/>
        <v>5</v>
      </c>
      <c r="IB6" s="36">
        <f t="shared" si="10"/>
        <v>6</v>
      </c>
      <c r="IC6" s="36">
        <f t="shared" si="10"/>
        <v>7</v>
      </c>
      <c r="ID6" s="36">
        <f t="shared" si="10"/>
        <v>8</v>
      </c>
      <c r="IE6" s="36">
        <f t="shared" si="10"/>
        <v>9</v>
      </c>
      <c r="IF6" s="36">
        <f t="shared" si="10"/>
        <v>10</v>
      </c>
      <c r="IG6" s="36">
        <f t="shared" si="10"/>
        <v>11</v>
      </c>
      <c r="IH6" s="36">
        <f t="shared" si="10"/>
        <v>12</v>
      </c>
      <c r="II6" s="36">
        <f t="shared" si="10"/>
        <v>13</v>
      </c>
      <c r="IJ6" s="36">
        <f t="shared" si="10"/>
        <v>14</v>
      </c>
      <c r="IK6" s="36">
        <f t="shared" si="10"/>
        <v>15</v>
      </c>
      <c r="IL6" s="36">
        <f t="shared" si="10"/>
        <v>16</v>
      </c>
      <c r="IM6" s="36">
        <f t="shared" si="10"/>
        <v>17</v>
      </c>
      <c r="IN6" s="36">
        <f t="shared" si="10"/>
        <v>18</v>
      </c>
      <c r="IO6" s="36">
        <f t="shared" si="10"/>
        <v>19</v>
      </c>
      <c r="IP6" s="36">
        <f t="shared" si="10"/>
        <v>20</v>
      </c>
      <c r="IQ6" s="36">
        <f t="shared" si="10"/>
        <v>21</v>
      </c>
      <c r="IR6" s="36">
        <f t="shared" si="10"/>
        <v>22</v>
      </c>
      <c r="IS6" s="36">
        <f t="shared" si="10"/>
        <v>23</v>
      </c>
      <c r="IT6" s="36">
        <f t="shared" si="10"/>
        <v>24</v>
      </c>
      <c r="IU6" s="36">
        <f t="shared" si="10"/>
        <v>25</v>
      </c>
      <c r="IV6" s="36">
        <f t="shared" si="10"/>
        <v>26</v>
      </c>
      <c r="IW6" s="36">
        <f t="shared" si="10"/>
        <v>27</v>
      </c>
    </row>
    <row r="7" spans="1:259" ht="15.9" customHeight="1" thickTop="1" x14ac:dyDescent="0.3">
      <c r="A7" s="104">
        <v>1</v>
      </c>
      <c r="B7" s="94" t="s">
        <v>72</v>
      </c>
      <c r="C7" s="95">
        <v>39</v>
      </c>
      <c r="D7" s="96" t="s">
        <v>73</v>
      </c>
      <c r="E7" s="10" t="s">
        <v>74</v>
      </c>
      <c r="F7" s="9">
        <v>2013</v>
      </c>
      <c r="G7" s="97">
        <v>23</v>
      </c>
      <c r="H7" s="98">
        <v>38.200000000000003</v>
      </c>
      <c r="I7" s="92" t="s">
        <v>75</v>
      </c>
      <c r="K7" s="88" t="str">
        <f>[1]List1!$B$114</f>
        <v>senioři</v>
      </c>
      <c r="L7" s="80" t="str">
        <f t="shared" ref="L7:L22" si="11">IF($B$7=AB7,"x","")</f>
        <v/>
      </c>
      <c r="N7" s="67" t="str">
        <f>[1]List1!$A$163</f>
        <v>ř.ř.</v>
      </c>
      <c r="O7" s="36" t="str">
        <f>IF(I7=N7,"x","")</f>
        <v/>
      </c>
      <c r="Q7" s="36" t="str">
        <f>Y23</f>
        <v>120 sek</v>
      </c>
      <c r="R7" s="36" t="str">
        <f>T9</f>
        <v xml:space="preserve"> </v>
      </c>
      <c r="T7" s="53" t="str">
        <f>[1]List1!$A$91</f>
        <v>120 sek</v>
      </c>
      <c r="U7" s="36" t="str">
        <f>IF(L7="x",1,"")</f>
        <v/>
      </c>
      <c r="V7" s="36" t="str">
        <f t="shared" ref="V7:V21" si="12">IF(L7="x",1,"")</f>
        <v/>
      </c>
      <c r="X7" s="53" t="str">
        <f>$N$7</f>
        <v>ř.ř.</v>
      </c>
      <c r="Y7" s="36">
        <f>IF(O7="",0,1)</f>
        <v>0</v>
      </c>
      <c r="Z7" s="1">
        <f>IF(L7="x",1,0)</f>
        <v>0</v>
      </c>
      <c r="AA7" t="str">
        <f>IF(L7="x",K7,"")</f>
        <v/>
      </c>
      <c r="AB7" s="53" t="str">
        <f>[1]List1!$A$114</f>
        <v>sen</v>
      </c>
      <c r="AC7" t="str">
        <f>IF(L7="x",AB7,"")</f>
        <v/>
      </c>
      <c r="AE7" s="36">
        <f>IF(D7="",0,1)</f>
        <v>1</v>
      </c>
      <c r="AF7" s="36">
        <f>A7</f>
        <v>1</v>
      </c>
      <c r="AH7" s="85">
        <v>1</v>
      </c>
      <c r="AI7" s="140">
        <f>AF7</f>
        <v>1</v>
      </c>
      <c r="AJ7" s="85">
        <f>AF8</f>
        <v>2</v>
      </c>
      <c r="AK7" s="141">
        <f>AI9</f>
        <v>3</v>
      </c>
      <c r="AL7" s="85">
        <f>AF7</f>
        <v>1</v>
      </c>
      <c r="AM7" s="85">
        <f>AJ7</f>
        <v>2</v>
      </c>
      <c r="AN7" s="141">
        <f>AL9</f>
        <v>3</v>
      </c>
      <c r="AO7" s="140">
        <f>AF7</f>
        <v>1</v>
      </c>
      <c r="AP7" s="85">
        <f>AO8</f>
        <v>2</v>
      </c>
      <c r="AQ7" s="141">
        <f>AO21</f>
        <v>15</v>
      </c>
      <c r="AR7" s="85">
        <f>AF7</f>
        <v>1</v>
      </c>
      <c r="AS7" s="85">
        <f>AR8</f>
        <v>2</v>
      </c>
      <c r="AT7" s="141">
        <f>AR21</f>
        <v>15</v>
      </c>
      <c r="AU7" s="140">
        <f>AF7</f>
        <v>1</v>
      </c>
      <c r="AV7" s="85">
        <f>AU8</f>
        <v>2</v>
      </c>
      <c r="AW7" s="141">
        <f>AU9</f>
        <v>3</v>
      </c>
      <c r="AX7" s="140">
        <f>AI7</f>
        <v>1</v>
      </c>
      <c r="AY7" s="85">
        <f>AX8</f>
        <v>2</v>
      </c>
      <c r="AZ7" s="141">
        <f>AX9</f>
        <v>3</v>
      </c>
      <c r="BA7" s="140">
        <f>AF7</f>
        <v>1</v>
      </c>
      <c r="BB7" s="85">
        <f>BA8</f>
        <v>2</v>
      </c>
      <c r="BC7" s="141">
        <f>BA19</f>
        <v>13</v>
      </c>
      <c r="BD7" s="85">
        <f>AF7</f>
        <v>1</v>
      </c>
      <c r="BE7" s="85">
        <f>BD8</f>
        <v>2</v>
      </c>
      <c r="BF7" s="141">
        <f>BD19</f>
        <v>13</v>
      </c>
      <c r="BG7" s="140">
        <f>AF7</f>
        <v>1</v>
      </c>
      <c r="BH7" s="85">
        <f>BG8</f>
        <v>2</v>
      </c>
      <c r="BI7" s="141">
        <f>BG9</f>
        <v>3</v>
      </c>
      <c r="BJ7" s="140">
        <f>AF7</f>
        <v>1</v>
      </c>
      <c r="BK7" s="85">
        <f>BJ8</f>
        <v>2</v>
      </c>
      <c r="BL7" s="85">
        <f>BJ9</f>
        <v>3</v>
      </c>
      <c r="BM7" s="140">
        <f>AF7</f>
        <v>1</v>
      </c>
      <c r="BN7" s="85">
        <f>BM8</f>
        <v>2</v>
      </c>
      <c r="BO7" s="141">
        <f>BM17</f>
        <v>11</v>
      </c>
      <c r="BP7" s="85">
        <f>AF7</f>
        <v>1</v>
      </c>
      <c r="BQ7" s="85">
        <f>BP8</f>
        <v>2</v>
      </c>
      <c r="BR7" s="141">
        <f>BP17</f>
        <v>11</v>
      </c>
      <c r="BS7" s="140">
        <f>AF7</f>
        <v>1</v>
      </c>
      <c r="BT7" s="85">
        <f>BS8</f>
        <v>2</v>
      </c>
      <c r="BU7" s="141">
        <f>BS9</f>
        <v>3</v>
      </c>
      <c r="BV7" s="140">
        <f>AI7</f>
        <v>1</v>
      </c>
      <c r="BW7" s="85">
        <f>BV8</f>
        <v>2</v>
      </c>
      <c r="BX7" s="141">
        <f>BV9</f>
        <v>3</v>
      </c>
      <c r="BY7" s="140">
        <f>AF7</f>
        <v>1</v>
      </c>
      <c r="BZ7" s="85">
        <f>BY8</f>
        <v>2</v>
      </c>
      <c r="CA7" s="141">
        <f>BY15</f>
        <v>9</v>
      </c>
      <c r="CB7" s="85">
        <f t="shared" ref="CB7:CB15" si="13">AF7</f>
        <v>1</v>
      </c>
      <c r="CC7" s="85">
        <f>CB8</f>
        <v>2</v>
      </c>
      <c r="CD7" s="141">
        <f>CB15</f>
        <v>9</v>
      </c>
      <c r="CE7" s="140">
        <f>AF7</f>
        <v>1</v>
      </c>
      <c r="CF7" s="85">
        <f>CE8</f>
        <v>2</v>
      </c>
      <c r="CG7" s="141">
        <f>CE9</f>
        <v>3</v>
      </c>
      <c r="CH7" s="85">
        <f>AF7</f>
        <v>1</v>
      </c>
      <c r="CI7" s="85">
        <f>CH8</f>
        <v>2</v>
      </c>
      <c r="CJ7" s="141">
        <f>CH9</f>
        <v>3</v>
      </c>
      <c r="CK7" s="140">
        <f>AF7</f>
        <v>1</v>
      </c>
      <c r="CL7" s="85">
        <f>CK8</f>
        <v>2</v>
      </c>
      <c r="CM7" s="141">
        <f>CK13</f>
        <v>7</v>
      </c>
      <c r="CN7" s="140">
        <f>AF7</f>
        <v>1</v>
      </c>
      <c r="CO7" s="85">
        <f>CN8</f>
        <v>2</v>
      </c>
      <c r="CP7" s="85">
        <f>CN13</f>
        <v>7</v>
      </c>
      <c r="CQ7" s="140">
        <f t="shared" ref="CQ7:CQ12" si="14">AF7</f>
        <v>1</v>
      </c>
      <c r="CR7" s="85">
        <f>CQ8</f>
        <v>2</v>
      </c>
      <c r="CS7" s="141">
        <f>CQ9</f>
        <v>3</v>
      </c>
      <c r="CT7" s="85">
        <f t="shared" ref="CT7:CT12" si="15">AF7</f>
        <v>1</v>
      </c>
      <c r="CU7" s="85">
        <f>CT8</f>
        <v>2</v>
      </c>
      <c r="CV7" s="141">
        <f>CT9</f>
        <v>3</v>
      </c>
      <c r="CW7" s="140">
        <f>AF7</f>
        <v>1</v>
      </c>
      <c r="CX7" s="85">
        <f>CW8</f>
        <v>2</v>
      </c>
      <c r="CY7" s="141">
        <f>CW11</f>
        <v>5</v>
      </c>
      <c r="CZ7" s="140">
        <f>AF7</f>
        <v>1</v>
      </c>
      <c r="DA7" s="85">
        <f>CZ8</f>
        <v>2</v>
      </c>
      <c r="DB7" s="85">
        <f>CZ11</f>
        <v>5</v>
      </c>
      <c r="DC7" s="140">
        <f>AF7</f>
        <v>1</v>
      </c>
      <c r="DD7" s="85">
        <f>DC8</f>
        <v>2</v>
      </c>
      <c r="DE7" s="141">
        <f>DC9</f>
        <v>3</v>
      </c>
      <c r="DF7" s="140">
        <f>AF7</f>
        <v>1</v>
      </c>
      <c r="DG7" s="85">
        <f>DF8</f>
        <v>2</v>
      </c>
      <c r="DH7" s="85">
        <f>DF9</f>
        <v>3</v>
      </c>
      <c r="DI7" s="140">
        <f>AF7</f>
        <v>1</v>
      </c>
      <c r="DJ7" s="85">
        <f>DI8</f>
        <v>2</v>
      </c>
      <c r="DK7" s="141">
        <f>DI9</f>
        <v>3</v>
      </c>
      <c r="DN7" s="36">
        <v>1</v>
      </c>
      <c r="DO7" s="140">
        <f>AI7</f>
        <v>1</v>
      </c>
      <c r="DP7" s="85">
        <f>AL7</f>
        <v>1</v>
      </c>
      <c r="DQ7" s="85">
        <f>AO7</f>
        <v>1</v>
      </c>
      <c r="DR7" s="85">
        <f>AR7</f>
        <v>1</v>
      </c>
      <c r="DS7" s="85">
        <f>AU7</f>
        <v>1</v>
      </c>
      <c r="DT7" s="85">
        <f>AX7</f>
        <v>1</v>
      </c>
      <c r="DU7" s="85">
        <f>BA7</f>
        <v>1</v>
      </c>
      <c r="DV7" s="85">
        <f>BD7</f>
        <v>1</v>
      </c>
      <c r="DW7" s="85">
        <f>BG7</f>
        <v>1</v>
      </c>
      <c r="DX7" s="85">
        <f>BJ7</f>
        <v>1</v>
      </c>
      <c r="DY7" s="85">
        <f>BM7</f>
        <v>1</v>
      </c>
      <c r="DZ7" s="85">
        <f>BP7</f>
        <v>1</v>
      </c>
      <c r="EA7" s="85">
        <f>BS7</f>
        <v>1</v>
      </c>
      <c r="EB7" s="85">
        <f>BV7</f>
        <v>1</v>
      </c>
      <c r="EC7" s="85">
        <f>BY7</f>
        <v>1</v>
      </c>
      <c r="ED7" s="85">
        <f>CB7</f>
        <v>1</v>
      </c>
      <c r="EE7" s="85">
        <f>CE7</f>
        <v>1</v>
      </c>
      <c r="EF7" s="85">
        <f>CH7</f>
        <v>1</v>
      </c>
      <c r="EG7" s="85">
        <f>CK7</f>
        <v>1</v>
      </c>
      <c r="EH7" s="85">
        <f>CN7</f>
        <v>1</v>
      </c>
      <c r="EI7" s="85">
        <f>CQ7</f>
        <v>1</v>
      </c>
      <c r="EJ7" s="85">
        <f>CT7</f>
        <v>1</v>
      </c>
      <c r="EK7" s="85">
        <f>CW7</f>
        <v>1</v>
      </c>
      <c r="EL7" s="85">
        <f>CZ7</f>
        <v>1</v>
      </c>
      <c r="EM7" s="85">
        <f>DC7</f>
        <v>1</v>
      </c>
      <c r="EN7" s="85">
        <f>DF7</f>
        <v>1</v>
      </c>
      <c r="EO7" s="141">
        <f>DI7</f>
        <v>1</v>
      </c>
      <c r="ES7" s="36">
        <v>1</v>
      </c>
      <c r="ET7" s="140">
        <f>AJ7</f>
        <v>2</v>
      </c>
      <c r="EU7" s="85">
        <f>AM7</f>
        <v>2</v>
      </c>
      <c r="EV7" s="85">
        <f>AP7</f>
        <v>2</v>
      </c>
      <c r="EW7" s="85">
        <f>AS7</f>
        <v>2</v>
      </c>
      <c r="EX7" s="85">
        <f>AV7</f>
        <v>2</v>
      </c>
      <c r="EY7" s="85">
        <f>AY7</f>
        <v>2</v>
      </c>
      <c r="EZ7" s="85">
        <f>BB7</f>
        <v>2</v>
      </c>
      <c r="FA7" s="85">
        <f>BE7</f>
        <v>2</v>
      </c>
      <c r="FB7" s="85">
        <f>BH7</f>
        <v>2</v>
      </c>
      <c r="FC7" s="85">
        <f>BK7</f>
        <v>2</v>
      </c>
      <c r="FD7" s="85">
        <f>BN7</f>
        <v>2</v>
      </c>
      <c r="FE7" s="85">
        <f>BQ7</f>
        <v>2</v>
      </c>
      <c r="FF7" s="85">
        <f>BT7</f>
        <v>2</v>
      </c>
      <c r="FG7" s="85">
        <f>BW7</f>
        <v>2</v>
      </c>
      <c r="FH7" s="85">
        <f>BZ7</f>
        <v>2</v>
      </c>
      <c r="FI7" s="85">
        <f>CC7</f>
        <v>2</v>
      </c>
      <c r="FJ7" s="85">
        <f>CF7</f>
        <v>2</v>
      </c>
      <c r="FK7" s="85">
        <f>CI7</f>
        <v>2</v>
      </c>
      <c r="FL7" s="85">
        <f>CL7</f>
        <v>2</v>
      </c>
      <c r="FM7" s="85">
        <f>CO7</f>
        <v>2</v>
      </c>
      <c r="FN7" s="85">
        <f>CR7</f>
        <v>2</v>
      </c>
      <c r="FO7" s="85">
        <f>CU7</f>
        <v>2</v>
      </c>
      <c r="FP7" s="85">
        <f>CX7</f>
        <v>2</v>
      </c>
      <c r="FQ7" s="85">
        <f>DA7</f>
        <v>2</v>
      </c>
      <c r="FR7" s="85">
        <f>DD7</f>
        <v>2</v>
      </c>
      <c r="FS7" s="85">
        <f>DG7</f>
        <v>2</v>
      </c>
      <c r="FT7" s="141">
        <f>DJ7</f>
        <v>2</v>
      </c>
      <c r="FX7" s="36">
        <v>1</v>
      </c>
      <c r="FY7" s="140">
        <f>AK7</f>
        <v>3</v>
      </c>
      <c r="FZ7" s="85">
        <f>AN7</f>
        <v>3</v>
      </c>
      <c r="GA7" s="85">
        <f>AQ7</f>
        <v>15</v>
      </c>
      <c r="GB7" s="85">
        <f>AT7</f>
        <v>15</v>
      </c>
      <c r="GC7" s="85">
        <f>AW7</f>
        <v>3</v>
      </c>
      <c r="GD7" s="85">
        <f>AZ7</f>
        <v>3</v>
      </c>
      <c r="GE7" s="85">
        <f>BC7</f>
        <v>13</v>
      </c>
      <c r="GF7" s="85">
        <f>BF7</f>
        <v>13</v>
      </c>
      <c r="GG7" s="85">
        <f>BI7</f>
        <v>3</v>
      </c>
      <c r="GH7" s="85">
        <f>BL7</f>
        <v>3</v>
      </c>
      <c r="GI7" s="85">
        <f>BO7</f>
        <v>11</v>
      </c>
      <c r="GJ7" s="85">
        <f>BR7</f>
        <v>11</v>
      </c>
      <c r="GK7" s="85">
        <f>BU7</f>
        <v>3</v>
      </c>
      <c r="GL7" s="85">
        <f>BX7</f>
        <v>3</v>
      </c>
      <c r="GM7" s="85">
        <f>CA7</f>
        <v>9</v>
      </c>
      <c r="GN7" s="85">
        <f>CD7</f>
        <v>9</v>
      </c>
      <c r="GO7" s="85">
        <f>CG7</f>
        <v>3</v>
      </c>
      <c r="GP7" s="85">
        <f>CJ7</f>
        <v>3</v>
      </c>
      <c r="GQ7" s="85">
        <f>CM7</f>
        <v>7</v>
      </c>
      <c r="GR7" s="85">
        <f>CP7</f>
        <v>7</v>
      </c>
      <c r="GS7" s="85">
        <f>CS7</f>
        <v>3</v>
      </c>
      <c r="GT7" s="85">
        <f>CV7</f>
        <v>3</v>
      </c>
      <c r="GU7" s="85">
        <f>CY7</f>
        <v>5</v>
      </c>
      <c r="GV7" s="85">
        <f>DB7</f>
        <v>5</v>
      </c>
      <c r="GW7" s="85">
        <f>DE7</f>
        <v>3</v>
      </c>
      <c r="GX7" s="85">
        <f>DH7</f>
        <v>3</v>
      </c>
      <c r="GY7" s="141">
        <f>DK7</f>
        <v>3</v>
      </c>
      <c r="HD7" s="36">
        <v>1</v>
      </c>
      <c r="HE7" s="36">
        <f>IF($HF$2&lt;=5,0,(INDEX($DO$7:$EO$38,HD7,$HD$1)))</f>
        <v>1</v>
      </c>
      <c r="HF7" s="36">
        <f>IF($HF$2&lt;=5,0,(INDEX($ET$7:$FT$38,HD7,$HD$1)))</f>
        <v>2</v>
      </c>
      <c r="HG7" s="36">
        <f>IF($HF$2&lt;=5,0,(INDEX($FY$7:$GY$38,HD7,$HD$1)))</f>
        <v>3</v>
      </c>
      <c r="HJ7" s="36">
        <v>1</v>
      </c>
      <c r="HK7" s="150">
        <f>IF(HE7=0,"",HE7)</f>
        <v>1</v>
      </c>
      <c r="HL7" s="112">
        <f>IF(HF7=0,"",HF7)</f>
        <v>2</v>
      </c>
      <c r="HM7" s="151">
        <f>IF(HG7=0,"",HG7)</f>
        <v>3</v>
      </c>
      <c r="HQ7" s="157" t="str">
        <f>IF(HK7="","",(IF((INDEX($D$7:$D$38,HK7))="","",(INDEX($D$7:$D$38,HK7)))))</f>
        <v>Bělohoubek Daniel</v>
      </c>
      <c r="HR7" s="158" t="str">
        <f>IF(HK7="","",(IF((INDEX($E$7:$E$38,HK7))="","",(INDEX($E$7:$E$38,HK7)))))</f>
        <v>Tichá</v>
      </c>
      <c r="HU7" s="36">
        <v>1</v>
      </c>
      <c r="HV7" s="36">
        <v>1</v>
      </c>
      <c r="HW7" s="163">
        <v>1</v>
      </c>
      <c r="HX7" s="164">
        <v>1</v>
      </c>
      <c r="HY7" s="164">
        <v>14</v>
      </c>
      <c r="HZ7" s="164">
        <v>14</v>
      </c>
      <c r="IA7" s="164">
        <v>1</v>
      </c>
      <c r="IB7" s="164">
        <v>1</v>
      </c>
      <c r="IC7" s="164">
        <v>12</v>
      </c>
      <c r="ID7" s="164">
        <v>12</v>
      </c>
      <c r="IE7" s="164">
        <v>1</v>
      </c>
      <c r="IF7" s="164">
        <v>1</v>
      </c>
      <c r="IG7" s="164">
        <v>10</v>
      </c>
      <c r="IH7" s="164">
        <v>10</v>
      </c>
      <c r="II7" s="164">
        <v>1</v>
      </c>
      <c r="IJ7" s="164">
        <v>1</v>
      </c>
      <c r="IK7" s="164">
        <v>8</v>
      </c>
      <c r="IL7" s="164">
        <v>8</v>
      </c>
      <c r="IM7" s="164">
        <v>1</v>
      </c>
      <c r="IN7" s="164">
        <v>1</v>
      </c>
      <c r="IO7" s="164">
        <v>6</v>
      </c>
      <c r="IP7" s="164">
        <v>6</v>
      </c>
      <c r="IQ7" s="164">
        <v>1</v>
      </c>
      <c r="IR7" s="164">
        <v>1</v>
      </c>
      <c r="IS7" s="164">
        <v>4</v>
      </c>
      <c r="IT7" s="164">
        <v>4</v>
      </c>
      <c r="IU7" s="164">
        <v>1</v>
      </c>
      <c r="IV7" s="164">
        <v>1</v>
      </c>
      <c r="IW7" s="165">
        <v>2</v>
      </c>
      <c r="IY7" s="36">
        <f>IF($HF$2&lt;=5,0,(INDEX($HW$7:$IW$22,HU7,$HD$1)))</f>
        <v>2</v>
      </c>
    </row>
    <row r="8" spans="1:259" ht="15.9" customHeight="1" x14ac:dyDescent="0.3">
      <c r="A8" s="104">
        <v>2</v>
      </c>
      <c r="B8" s="99" t="s">
        <v>72</v>
      </c>
      <c r="C8" s="97">
        <v>39</v>
      </c>
      <c r="D8" s="96" t="s">
        <v>76</v>
      </c>
      <c r="E8" s="10" t="s">
        <v>77</v>
      </c>
      <c r="F8" s="9">
        <v>2014</v>
      </c>
      <c r="G8" s="97">
        <v>53</v>
      </c>
      <c r="H8" s="98">
        <v>39</v>
      </c>
      <c r="I8" s="91" t="s">
        <v>75</v>
      </c>
      <c r="K8" s="67" t="str">
        <f>[1]List1!$B$113</f>
        <v>junioři</v>
      </c>
      <c r="L8" s="36" t="str">
        <f t="shared" si="11"/>
        <v/>
      </c>
      <c r="N8" s="67" t="str">
        <f>[1]List1!$A$164</f>
        <v>v.s.</v>
      </c>
      <c r="O8" s="36" t="str">
        <f>IF(I7=N8,"x","")</f>
        <v>x</v>
      </c>
      <c r="T8" s="53" t="str">
        <f>[1]List1!$A$92</f>
        <v>180 sek</v>
      </c>
      <c r="U8" s="36" t="str">
        <f>IF(L8="x",1,"")</f>
        <v/>
      </c>
      <c r="V8" s="36" t="str">
        <f t="shared" si="12"/>
        <v/>
      </c>
      <c r="X8" s="53" t="str">
        <f>$N$8</f>
        <v>v.s.</v>
      </c>
      <c r="Y8" s="36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53" t="str">
        <f>[1]List1!$A$113</f>
        <v>jun</v>
      </c>
      <c r="AC8" t="str">
        <f t="shared" ref="AC8:AC22" si="18">IF(L8="x",AB8,"")</f>
        <v/>
      </c>
      <c r="AE8" s="36">
        <f t="shared" ref="AE8:AE38" si="19">IF(D8="",0,1)</f>
        <v>1</v>
      </c>
      <c r="AF8" s="36">
        <f t="shared" ref="AF8:AF21" si="20">A8</f>
        <v>2</v>
      </c>
      <c r="AH8" s="36">
        <v>2</v>
      </c>
      <c r="AI8" s="138">
        <f t="shared" ref="AI8:AI38" si="21">AF8</f>
        <v>2</v>
      </c>
      <c r="AJ8" s="36">
        <f>AF7</f>
        <v>1</v>
      </c>
      <c r="AK8" s="149">
        <f>AI10</f>
        <v>4</v>
      </c>
      <c r="AL8" s="36">
        <f t="shared" ref="AL8:AL21" si="22">AF8</f>
        <v>2</v>
      </c>
      <c r="AM8" s="36">
        <f t="shared" ref="AM8:AM20" si="23">AJ8</f>
        <v>1</v>
      </c>
      <c r="AN8" s="149">
        <f>AL10</f>
        <v>4</v>
      </c>
      <c r="AO8" s="138">
        <f t="shared" ref="AO8:AO21" si="24">AF8</f>
        <v>2</v>
      </c>
      <c r="AP8" s="36">
        <f>AO7</f>
        <v>1</v>
      </c>
      <c r="AQ8" s="149">
        <f>AO9</f>
        <v>3</v>
      </c>
      <c r="AR8" s="36">
        <f t="shared" ref="AR8:AR21" si="25">AF8</f>
        <v>2</v>
      </c>
      <c r="AS8" s="36">
        <f>AR7</f>
        <v>1</v>
      </c>
      <c r="AT8" s="149">
        <f>AR9</f>
        <v>3</v>
      </c>
      <c r="AU8" s="138">
        <f t="shared" ref="AU8:AU20" si="26">AF8</f>
        <v>2</v>
      </c>
      <c r="AV8" s="36">
        <f>AU7</f>
        <v>1</v>
      </c>
      <c r="AW8" s="149">
        <f>AU10</f>
        <v>4</v>
      </c>
      <c r="AX8" s="138">
        <f t="shared" ref="AX8:AX20" si="27">AI8</f>
        <v>2</v>
      </c>
      <c r="AY8" s="36">
        <f>AX7</f>
        <v>1</v>
      </c>
      <c r="AZ8" s="149">
        <f>AX10</f>
        <v>4</v>
      </c>
      <c r="BA8" s="138">
        <f t="shared" ref="BA8:BA19" si="28">AF8</f>
        <v>2</v>
      </c>
      <c r="BB8" s="36">
        <f>BA7</f>
        <v>1</v>
      </c>
      <c r="BC8" s="149">
        <f>BA9</f>
        <v>3</v>
      </c>
      <c r="BD8" s="36">
        <f t="shared" ref="BD8:BD19" si="29">AF8</f>
        <v>2</v>
      </c>
      <c r="BE8" s="36">
        <f>BD7</f>
        <v>1</v>
      </c>
      <c r="BF8" s="149">
        <f>BD9</f>
        <v>3</v>
      </c>
      <c r="BG8" s="138">
        <f t="shared" ref="BG8:BG18" si="30">AF8</f>
        <v>2</v>
      </c>
      <c r="BH8" s="36">
        <f>BG7</f>
        <v>1</v>
      </c>
      <c r="BI8" s="149">
        <f>BG10</f>
        <v>4</v>
      </c>
      <c r="BJ8" s="138">
        <f t="shared" ref="BJ8:BJ18" si="31">AF8</f>
        <v>2</v>
      </c>
      <c r="BK8" s="36">
        <f>BJ7</f>
        <v>1</v>
      </c>
      <c r="BL8" s="36">
        <f>BJ10</f>
        <v>4</v>
      </c>
      <c r="BM8" s="138">
        <f t="shared" ref="BM8:BM17" si="32">AF8</f>
        <v>2</v>
      </c>
      <c r="BN8" s="36">
        <f>BM7</f>
        <v>1</v>
      </c>
      <c r="BO8" s="149">
        <f>BM9</f>
        <v>3</v>
      </c>
      <c r="BP8" s="36">
        <f t="shared" ref="BP8:BP17" si="33">AF8</f>
        <v>2</v>
      </c>
      <c r="BQ8" s="36">
        <f>BP7</f>
        <v>1</v>
      </c>
      <c r="BR8" s="149">
        <f>BP9</f>
        <v>3</v>
      </c>
      <c r="BS8" s="138">
        <f t="shared" ref="BS8:BS16" si="34">AF8</f>
        <v>2</v>
      </c>
      <c r="BT8" s="36">
        <f>BS7</f>
        <v>1</v>
      </c>
      <c r="BU8" s="149">
        <f>BS10</f>
        <v>4</v>
      </c>
      <c r="BV8" s="138">
        <f t="shared" ref="BV8:BV16" si="35">AI8</f>
        <v>2</v>
      </c>
      <c r="BW8" s="36">
        <f>BV7</f>
        <v>1</v>
      </c>
      <c r="BX8" s="149">
        <f>BV10</f>
        <v>4</v>
      </c>
      <c r="BY8" s="138">
        <f t="shared" ref="BY8:BY15" si="36">AF8</f>
        <v>2</v>
      </c>
      <c r="BZ8" s="36">
        <f>BY7</f>
        <v>1</v>
      </c>
      <c r="CA8" s="149">
        <f>BY9</f>
        <v>3</v>
      </c>
      <c r="CB8" s="36">
        <f t="shared" si="13"/>
        <v>2</v>
      </c>
      <c r="CC8" s="36">
        <f>CB7</f>
        <v>1</v>
      </c>
      <c r="CD8" s="149">
        <f>CB9</f>
        <v>3</v>
      </c>
      <c r="CE8" s="138">
        <f t="shared" ref="CE8:CE14" si="37">AF8</f>
        <v>2</v>
      </c>
      <c r="CF8" s="36">
        <f>CE7</f>
        <v>1</v>
      </c>
      <c r="CG8" s="149">
        <f>CE10</f>
        <v>4</v>
      </c>
      <c r="CH8" s="36">
        <f t="shared" ref="CH8:CH14" si="38">AF8</f>
        <v>2</v>
      </c>
      <c r="CI8" s="36">
        <f>CH7</f>
        <v>1</v>
      </c>
      <c r="CJ8" s="149">
        <f>CH10</f>
        <v>4</v>
      </c>
      <c r="CK8" s="138">
        <f t="shared" ref="CK8:CK13" si="39">AF8</f>
        <v>2</v>
      </c>
      <c r="CL8" s="36">
        <f>CK7</f>
        <v>1</v>
      </c>
      <c r="CM8" s="149">
        <f>CK9</f>
        <v>3</v>
      </c>
      <c r="CN8" s="138">
        <f t="shared" ref="CN8:CN13" si="40">AF8</f>
        <v>2</v>
      </c>
      <c r="CO8" s="36">
        <f>CN7</f>
        <v>1</v>
      </c>
      <c r="CP8" s="36">
        <f>CN9</f>
        <v>3</v>
      </c>
      <c r="CQ8" s="138">
        <f t="shared" si="14"/>
        <v>2</v>
      </c>
      <c r="CR8" s="36">
        <f>CQ7</f>
        <v>1</v>
      </c>
      <c r="CS8" s="149">
        <f>CQ11</f>
        <v>5</v>
      </c>
      <c r="CT8" s="36">
        <f t="shared" si="15"/>
        <v>2</v>
      </c>
      <c r="CU8" s="36">
        <f>CT7</f>
        <v>1</v>
      </c>
      <c r="CV8" s="149">
        <f>CT11</f>
        <v>5</v>
      </c>
      <c r="CW8" s="138">
        <f>AF8</f>
        <v>2</v>
      </c>
      <c r="CX8" s="36">
        <f>CW7</f>
        <v>1</v>
      </c>
      <c r="CY8" s="149">
        <f>CW9</f>
        <v>3</v>
      </c>
      <c r="CZ8" s="138">
        <f>AF8</f>
        <v>2</v>
      </c>
      <c r="DA8" s="36">
        <f>CZ7</f>
        <v>1</v>
      </c>
      <c r="DB8" s="36">
        <f>CZ9</f>
        <v>3</v>
      </c>
      <c r="DC8" s="138">
        <f>AF8</f>
        <v>2</v>
      </c>
      <c r="DD8" s="36">
        <f>DC7</f>
        <v>1</v>
      </c>
      <c r="DE8" s="149">
        <f>DC10</f>
        <v>4</v>
      </c>
      <c r="DF8" s="138">
        <f>AF8</f>
        <v>2</v>
      </c>
      <c r="DG8" s="36">
        <f>DF7</f>
        <v>1</v>
      </c>
      <c r="DH8" s="36">
        <f>DF10</f>
        <v>4</v>
      </c>
      <c r="DI8" s="138">
        <f>AF8</f>
        <v>2</v>
      </c>
      <c r="DJ8" s="36">
        <f>DI7</f>
        <v>1</v>
      </c>
      <c r="DK8" s="149" t="str">
        <f>DJ9</f>
        <v>VL</v>
      </c>
      <c r="DN8" s="36">
        <f>DN7+1</f>
        <v>2</v>
      </c>
      <c r="DO8" s="138">
        <f t="shared" ref="DO8:DO38" si="41">AI8</f>
        <v>2</v>
      </c>
      <c r="DP8" s="36">
        <f t="shared" ref="DP8:DP38" si="42">AL8</f>
        <v>2</v>
      </c>
      <c r="DQ8" s="36">
        <f t="shared" ref="DQ8:DQ38" si="43">AO8</f>
        <v>2</v>
      </c>
      <c r="DR8" s="36">
        <f t="shared" ref="DR8:DR38" si="44">AR8</f>
        <v>2</v>
      </c>
      <c r="DS8" s="36">
        <f t="shared" ref="DS8:DS38" si="45">AU8</f>
        <v>2</v>
      </c>
      <c r="DT8" s="36">
        <f t="shared" ref="DT8:DT38" si="46">AX8</f>
        <v>2</v>
      </c>
      <c r="DU8" s="36">
        <f t="shared" ref="DU8:DU38" si="47">BA8</f>
        <v>2</v>
      </c>
      <c r="DV8" s="36">
        <f t="shared" ref="DV8:DV38" si="48">BD8</f>
        <v>2</v>
      </c>
      <c r="DW8" s="36">
        <f t="shared" ref="DW8:DW38" si="49">BG8</f>
        <v>2</v>
      </c>
      <c r="DX8" s="36">
        <f t="shared" ref="DX8:DX38" si="50">BJ8</f>
        <v>2</v>
      </c>
      <c r="DY8" s="36">
        <f t="shared" ref="DY8:DY38" si="51">BM8</f>
        <v>2</v>
      </c>
      <c r="DZ8" s="36">
        <f t="shared" ref="DZ8:DZ38" si="52">BP8</f>
        <v>2</v>
      </c>
      <c r="EA8" s="36">
        <f t="shared" ref="EA8:EA38" si="53">BS8</f>
        <v>2</v>
      </c>
      <c r="EB8" s="36">
        <f t="shared" ref="EB8:EB38" si="54">BV8</f>
        <v>2</v>
      </c>
      <c r="EC8" s="36">
        <f t="shared" ref="EC8:EC38" si="55">BY8</f>
        <v>2</v>
      </c>
      <c r="ED8" s="36">
        <f t="shared" ref="ED8:ED38" si="56">CB8</f>
        <v>2</v>
      </c>
      <c r="EE8" s="36">
        <f t="shared" ref="EE8:EE38" si="57">CE8</f>
        <v>2</v>
      </c>
      <c r="EF8" s="36">
        <f t="shared" ref="EF8:EF38" si="58">CH8</f>
        <v>2</v>
      </c>
      <c r="EG8" s="36">
        <f t="shared" ref="EG8:EG38" si="59">CK8</f>
        <v>2</v>
      </c>
      <c r="EH8" s="36">
        <f t="shared" ref="EH8:EH38" si="60">CN8</f>
        <v>2</v>
      </c>
      <c r="EI8" s="36">
        <f t="shared" ref="EI8:EI38" si="61">CQ8</f>
        <v>2</v>
      </c>
      <c r="EJ8" s="36">
        <f t="shared" ref="EJ8:EJ38" si="62">CT8</f>
        <v>2</v>
      </c>
      <c r="EK8" s="36">
        <f t="shared" ref="EK8:EK38" si="63">CW8</f>
        <v>2</v>
      </c>
      <c r="EL8" s="36">
        <f t="shared" ref="EL8:EL38" si="64">CZ8</f>
        <v>2</v>
      </c>
      <c r="EM8" s="36">
        <f t="shared" ref="EM8:EM38" si="65">DC8</f>
        <v>2</v>
      </c>
      <c r="EN8" s="36">
        <f t="shared" ref="EN8:EN38" si="66">DF8</f>
        <v>2</v>
      </c>
      <c r="EO8" s="149">
        <f t="shared" ref="EO8:EO38" si="67">DI8</f>
        <v>2</v>
      </c>
      <c r="ES8" s="36">
        <f>ES7+1</f>
        <v>2</v>
      </c>
      <c r="ET8" s="138">
        <f t="shared" ref="ET8:ET37" si="68">AJ8</f>
        <v>1</v>
      </c>
      <c r="EU8" s="36">
        <f t="shared" ref="EU8:EU37" si="69">AM8</f>
        <v>1</v>
      </c>
      <c r="EV8" s="36">
        <f t="shared" ref="EV8:EV37" si="70">AP8</f>
        <v>1</v>
      </c>
      <c r="EW8" s="36">
        <f t="shared" ref="EW8:EW37" si="71">AS8</f>
        <v>1</v>
      </c>
      <c r="EX8" s="36">
        <f t="shared" ref="EX8:EX37" si="72">AV8</f>
        <v>1</v>
      </c>
      <c r="EY8" s="36">
        <f t="shared" ref="EY8:EY37" si="73">AY8</f>
        <v>1</v>
      </c>
      <c r="EZ8" s="36">
        <f t="shared" ref="EZ8:EZ37" si="74">BB8</f>
        <v>1</v>
      </c>
      <c r="FA8" s="36">
        <f t="shared" ref="FA8:FA37" si="75">BE8</f>
        <v>1</v>
      </c>
      <c r="FB8" s="36">
        <f t="shared" ref="FB8:FB37" si="76">BH8</f>
        <v>1</v>
      </c>
      <c r="FC8" s="36">
        <f t="shared" ref="FC8:FC37" si="77">BK8</f>
        <v>1</v>
      </c>
      <c r="FD8" s="36">
        <f t="shared" ref="FD8:FD37" si="78">BN8</f>
        <v>1</v>
      </c>
      <c r="FE8" s="36">
        <f t="shared" ref="FE8:FE37" si="79">BQ8</f>
        <v>1</v>
      </c>
      <c r="FF8" s="36">
        <f t="shared" ref="FF8:FF37" si="80">BT8</f>
        <v>1</v>
      </c>
      <c r="FG8" s="36">
        <f t="shared" ref="FG8:FG37" si="81">BW8</f>
        <v>1</v>
      </c>
      <c r="FH8" s="36">
        <f t="shared" ref="FH8:FH37" si="82">BZ8</f>
        <v>1</v>
      </c>
      <c r="FI8" s="36">
        <f t="shared" ref="FI8:FI37" si="83">CC8</f>
        <v>1</v>
      </c>
      <c r="FJ8" s="36">
        <f t="shared" ref="FJ8:FJ37" si="84">CF8</f>
        <v>1</v>
      </c>
      <c r="FK8" s="36">
        <f t="shared" ref="FK8:FK37" si="85">CI8</f>
        <v>1</v>
      </c>
      <c r="FL8" s="36">
        <f t="shared" ref="FL8:FL37" si="86">CL8</f>
        <v>1</v>
      </c>
      <c r="FM8" s="36">
        <f t="shared" ref="FM8:FM37" si="87">CO8</f>
        <v>1</v>
      </c>
      <c r="FN8" s="36">
        <f t="shared" ref="FN8:FN37" si="88">CR8</f>
        <v>1</v>
      </c>
      <c r="FO8" s="36">
        <f t="shared" ref="FO8:FO37" si="89">CU8</f>
        <v>1</v>
      </c>
      <c r="FP8" s="36">
        <f t="shared" ref="FP8:FP37" si="90">CX8</f>
        <v>1</v>
      </c>
      <c r="FQ8" s="36">
        <f t="shared" ref="FQ8:FQ37" si="91">DA8</f>
        <v>1</v>
      </c>
      <c r="FR8" s="36">
        <f t="shared" ref="FR8:FR37" si="92">DD8</f>
        <v>1</v>
      </c>
      <c r="FS8" s="36">
        <f t="shared" ref="FS8:FS37" si="93">DG8</f>
        <v>1</v>
      </c>
      <c r="FT8" s="149">
        <f t="shared" ref="FT8:FT37" si="94">DJ8</f>
        <v>1</v>
      </c>
      <c r="FX8" s="36">
        <f>FX7+1</f>
        <v>2</v>
      </c>
      <c r="FY8" s="138">
        <f t="shared" ref="FY8:FY37" si="95">AK8</f>
        <v>4</v>
      </c>
      <c r="FZ8" s="36">
        <f t="shared" ref="FZ8:FZ37" si="96">AN8</f>
        <v>4</v>
      </c>
      <c r="GA8" s="36">
        <f t="shared" ref="GA8:GA37" si="97">AQ8</f>
        <v>3</v>
      </c>
      <c r="GB8" s="36">
        <f t="shared" ref="GB8:GB37" si="98">AT8</f>
        <v>3</v>
      </c>
      <c r="GC8" s="36">
        <f t="shared" ref="GC8:GC37" si="99">AW8</f>
        <v>4</v>
      </c>
      <c r="GD8" s="36">
        <f t="shared" ref="GD8:GD37" si="100">AZ8</f>
        <v>4</v>
      </c>
      <c r="GE8" s="36">
        <f t="shared" ref="GE8:GE37" si="101">BC8</f>
        <v>3</v>
      </c>
      <c r="GF8" s="36">
        <f t="shared" ref="GF8:GF37" si="102">BF8</f>
        <v>3</v>
      </c>
      <c r="GG8" s="36">
        <f t="shared" ref="GG8:GG37" si="103">BI8</f>
        <v>4</v>
      </c>
      <c r="GH8" s="36">
        <f t="shared" ref="GH8:GH37" si="104">BL8</f>
        <v>4</v>
      </c>
      <c r="GI8" s="36">
        <f t="shared" ref="GI8:GI37" si="105">BO8</f>
        <v>3</v>
      </c>
      <c r="GJ8" s="36">
        <f t="shared" ref="GJ8:GJ37" si="106">BR8</f>
        <v>3</v>
      </c>
      <c r="GK8" s="36">
        <f t="shared" ref="GK8:GK37" si="107">BU8</f>
        <v>4</v>
      </c>
      <c r="GL8" s="36">
        <f t="shared" ref="GL8:GL37" si="108">BX8</f>
        <v>4</v>
      </c>
      <c r="GM8" s="36">
        <f t="shared" ref="GM8:GM37" si="109">CA8</f>
        <v>3</v>
      </c>
      <c r="GN8" s="36">
        <f t="shared" ref="GN8:GN37" si="110">CD8</f>
        <v>3</v>
      </c>
      <c r="GO8" s="36">
        <f t="shared" ref="GO8:GO37" si="111">CG8</f>
        <v>4</v>
      </c>
      <c r="GP8" s="36">
        <f t="shared" ref="GP8:GP37" si="112">CJ8</f>
        <v>4</v>
      </c>
      <c r="GQ8" s="36">
        <f t="shared" ref="GQ8:GQ37" si="113">CM8</f>
        <v>3</v>
      </c>
      <c r="GR8" s="36">
        <f t="shared" ref="GR8:GR37" si="114">CP8</f>
        <v>3</v>
      </c>
      <c r="GS8" s="36">
        <f t="shared" ref="GS8:GS37" si="115">CS8</f>
        <v>5</v>
      </c>
      <c r="GT8" s="36">
        <f t="shared" ref="GT8:GT37" si="116">CV8</f>
        <v>5</v>
      </c>
      <c r="GU8" s="36">
        <f t="shared" ref="GU8:GU37" si="117">CY8</f>
        <v>3</v>
      </c>
      <c r="GV8" s="36">
        <f t="shared" ref="GV8:GV37" si="118">DB8</f>
        <v>3</v>
      </c>
      <c r="GW8" s="36">
        <f t="shared" ref="GW8:GW38" si="119">DE8</f>
        <v>4</v>
      </c>
      <c r="GX8" s="36">
        <f t="shared" ref="GX8:GX37" si="120">DH8</f>
        <v>4</v>
      </c>
      <c r="GY8" s="149" t="str">
        <f t="shared" ref="GY8:GY37" si="121">DK8</f>
        <v>VL</v>
      </c>
      <c r="HD8" s="36">
        <f>HD7+1</f>
        <v>2</v>
      </c>
      <c r="HE8" s="36">
        <f t="shared" ref="HE8:HE38" si="122">IF($HF$2&lt;=5,0,(INDEX($DO$7:$EO$38,HD8,$HD$1)))</f>
        <v>2</v>
      </c>
      <c r="HF8" s="36">
        <f t="shared" ref="HF8:HF37" si="123">IF($HF$2&lt;=5,0,(INDEX($ET$7:$FT$38,HD8,$HD$1)))</f>
        <v>1</v>
      </c>
      <c r="HG8" s="36" t="str">
        <f t="shared" ref="HG8:HG38" si="124">IF($HF$2&lt;=5,0,(INDEX($FY$7:$GY$38,HD8,$HD$1)))</f>
        <v>VL</v>
      </c>
      <c r="HK8" s="152"/>
      <c r="HM8" s="153"/>
      <c r="HQ8" s="159" t="str">
        <f t="shared" ref="HQ8:HQ54" si="125">IF(HK8="","",(IF((INDEX($D$7:$D$38,HK8))="","",(INDEX($D$7:$D$38,HK8)))))</f>
        <v/>
      </c>
      <c r="HR8" s="160" t="str">
        <f t="shared" ref="HR8:HR54" si="126">IF(HK8="","",(IF((INDEX($E$7:$E$38,HK8))="","",(INDEX($E$7:$E$38,HK8)))))</f>
        <v/>
      </c>
      <c r="HU8" s="36">
        <v>2</v>
      </c>
      <c r="HV8" s="36">
        <f>HV7+1</f>
        <v>2</v>
      </c>
      <c r="HW8" s="139">
        <v>2</v>
      </c>
      <c r="HX8" s="136">
        <v>2</v>
      </c>
      <c r="HY8" s="136">
        <v>15</v>
      </c>
      <c r="HZ8" s="136">
        <v>15</v>
      </c>
      <c r="IA8" s="136">
        <v>2</v>
      </c>
      <c r="IB8" s="136">
        <v>2</v>
      </c>
      <c r="IC8" s="136">
        <v>13</v>
      </c>
      <c r="ID8" s="136">
        <v>13</v>
      </c>
      <c r="IE8" s="136">
        <v>2</v>
      </c>
      <c r="IF8" s="136">
        <v>2</v>
      </c>
      <c r="IG8" s="136">
        <v>11</v>
      </c>
      <c r="IH8" s="136">
        <v>11</v>
      </c>
      <c r="II8" s="136">
        <v>2</v>
      </c>
      <c r="IJ8" s="136">
        <v>2</v>
      </c>
      <c r="IK8" s="136">
        <v>9</v>
      </c>
      <c r="IL8" s="136">
        <v>9</v>
      </c>
      <c r="IM8" s="136">
        <v>2</v>
      </c>
      <c r="IN8" s="136">
        <v>2</v>
      </c>
      <c r="IO8" s="136">
        <v>7</v>
      </c>
      <c r="IP8" s="136">
        <v>7</v>
      </c>
      <c r="IQ8" s="136">
        <v>2</v>
      </c>
      <c r="IR8" s="136">
        <v>2</v>
      </c>
      <c r="IS8" s="136">
        <v>5</v>
      </c>
      <c r="IT8" s="136">
        <v>5</v>
      </c>
      <c r="IU8" s="136">
        <v>2</v>
      </c>
      <c r="IV8" s="136">
        <v>2</v>
      </c>
      <c r="IW8" s="166">
        <v>3</v>
      </c>
      <c r="IY8" s="36">
        <f t="shared" ref="IY8:IY38" si="127">IF($HF$2&lt;=5,0,(INDEX($HW$7:$IW$22,HU8,$HD$1)))</f>
        <v>3</v>
      </c>
    </row>
    <row r="9" spans="1:259" ht="15.9" customHeight="1" x14ac:dyDescent="0.3">
      <c r="A9" s="104">
        <v>3</v>
      </c>
      <c r="B9" s="94" t="s">
        <v>72</v>
      </c>
      <c r="C9" s="95">
        <v>39</v>
      </c>
      <c r="D9" s="96" t="s">
        <v>78</v>
      </c>
      <c r="E9" s="10" t="s">
        <v>79</v>
      </c>
      <c r="F9" s="9">
        <v>2014</v>
      </c>
      <c r="G9" s="97">
        <v>95</v>
      </c>
      <c r="H9" s="98">
        <v>36.4</v>
      </c>
      <c r="I9" s="91" t="s">
        <v>75</v>
      </c>
      <c r="K9" s="67" t="str">
        <f>[1]List1!$B$112</f>
        <v>kadeti</v>
      </c>
      <c r="L9" s="36" t="str">
        <f t="shared" si="11"/>
        <v/>
      </c>
      <c r="T9" s="53" t="str">
        <f>[1]List1!$A$93</f>
        <v xml:space="preserve"> </v>
      </c>
      <c r="U9" s="36" t="str">
        <f>IF(L9="x",1,"")</f>
        <v/>
      </c>
      <c r="V9" s="36" t="str">
        <f t="shared" si="12"/>
        <v/>
      </c>
      <c r="Z9" s="1">
        <f t="shared" si="16"/>
        <v>0</v>
      </c>
      <c r="AA9" t="str">
        <f t="shared" si="17"/>
        <v/>
      </c>
      <c r="AB9" s="53" t="str">
        <f>[1]List1!$A$112</f>
        <v>kad</v>
      </c>
      <c r="AC9" t="str">
        <f t="shared" si="18"/>
        <v/>
      </c>
      <c r="AE9" s="36">
        <f t="shared" si="19"/>
        <v>1</v>
      </c>
      <c r="AF9" s="36">
        <f t="shared" si="20"/>
        <v>3</v>
      </c>
      <c r="AH9" s="36">
        <v>3</v>
      </c>
      <c r="AI9" s="138">
        <f t="shared" si="21"/>
        <v>3</v>
      </c>
      <c r="AJ9" s="36">
        <f>AF10</f>
        <v>4</v>
      </c>
      <c r="AK9" s="149">
        <f>AI7</f>
        <v>1</v>
      </c>
      <c r="AL9" s="36">
        <f t="shared" si="22"/>
        <v>3</v>
      </c>
      <c r="AM9" s="36">
        <f t="shared" si="23"/>
        <v>4</v>
      </c>
      <c r="AN9" s="149">
        <f>AL7</f>
        <v>1</v>
      </c>
      <c r="AO9" s="138">
        <f t="shared" si="24"/>
        <v>3</v>
      </c>
      <c r="AP9" s="36">
        <f>AO10</f>
        <v>4</v>
      </c>
      <c r="AQ9" s="149">
        <f>AO8</f>
        <v>2</v>
      </c>
      <c r="AR9" s="36">
        <f t="shared" si="25"/>
        <v>3</v>
      </c>
      <c r="AS9" s="36">
        <f>AR10</f>
        <v>4</v>
      </c>
      <c r="AT9" s="149">
        <f>AR8</f>
        <v>2</v>
      </c>
      <c r="AU9" s="138">
        <f t="shared" si="26"/>
        <v>3</v>
      </c>
      <c r="AV9" s="36">
        <f>AU10</f>
        <v>4</v>
      </c>
      <c r="AW9" s="149">
        <f>AU7</f>
        <v>1</v>
      </c>
      <c r="AX9" s="138">
        <f t="shared" si="27"/>
        <v>3</v>
      </c>
      <c r="AY9" s="36">
        <f>AX10</f>
        <v>4</v>
      </c>
      <c r="AZ9" s="149">
        <f>AX7</f>
        <v>1</v>
      </c>
      <c r="BA9" s="138">
        <f t="shared" si="28"/>
        <v>3</v>
      </c>
      <c r="BB9" s="36">
        <f>BA10</f>
        <v>4</v>
      </c>
      <c r="BC9" s="149">
        <f>BA8</f>
        <v>2</v>
      </c>
      <c r="BD9" s="36">
        <f t="shared" si="29"/>
        <v>3</v>
      </c>
      <c r="BE9" s="36">
        <f>BD10</f>
        <v>4</v>
      </c>
      <c r="BF9" s="149">
        <f>BD8</f>
        <v>2</v>
      </c>
      <c r="BG9" s="138">
        <f t="shared" si="30"/>
        <v>3</v>
      </c>
      <c r="BH9" s="36">
        <f>BG10</f>
        <v>4</v>
      </c>
      <c r="BI9" s="149">
        <f>BG7</f>
        <v>1</v>
      </c>
      <c r="BJ9" s="138">
        <f t="shared" si="31"/>
        <v>3</v>
      </c>
      <c r="BK9" s="36">
        <f>BJ10</f>
        <v>4</v>
      </c>
      <c r="BL9" s="36">
        <f>BJ7</f>
        <v>1</v>
      </c>
      <c r="BM9" s="138">
        <f t="shared" si="32"/>
        <v>3</v>
      </c>
      <c r="BN9" s="36">
        <f>BM10</f>
        <v>4</v>
      </c>
      <c r="BO9" s="149">
        <f>BM8</f>
        <v>2</v>
      </c>
      <c r="BP9" s="36">
        <f t="shared" si="33"/>
        <v>3</v>
      </c>
      <c r="BQ9" s="36">
        <f>BP10</f>
        <v>4</v>
      </c>
      <c r="BR9" s="149">
        <f>BP8</f>
        <v>2</v>
      </c>
      <c r="BS9" s="138">
        <f t="shared" si="34"/>
        <v>3</v>
      </c>
      <c r="BT9" s="36">
        <f>BS10</f>
        <v>4</v>
      </c>
      <c r="BU9" s="149">
        <f>BS7</f>
        <v>1</v>
      </c>
      <c r="BV9" s="138">
        <f t="shared" si="35"/>
        <v>3</v>
      </c>
      <c r="BW9" s="36">
        <f>BV10</f>
        <v>4</v>
      </c>
      <c r="BX9" s="149">
        <f>BV7</f>
        <v>1</v>
      </c>
      <c r="BY9" s="138">
        <f t="shared" si="36"/>
        <v>3</v>
      </c>
      <c r="BZ9" s="36">
        <f>BY10</f>
        <v>4</v>
      </c>
      <c r="CA9" s="149">
        <f>BY8</f>
        <v>2</v>
      </c>
      <c r="CB9" s="36">
        <f t="shared" si="13"/>
        <v>3</v>
      </c>
      <c r="CC9" s="36">
        <f>CB10</f>
        <v>4</v>
      </c>
      <c r="CD9" s="149">
        <f>CB8</f>
        <v>2</v>
      </c>
      <c r="CE9" s="138">
        <f t="shared" si="37"/>
        <v>3</v>
      </c>
      <c r="CF9" s="36">
        <f>CE10</f>
        <v>4</v>
      </c>
      <c r="CG9" s="149">
        <f>CE7</f>
        <v>1</v>
      </c>
      <c r="CH9" s="36">
        <f t="shared" si="38"/>
        <v>3</v>
      </c>
      <c r="CI9" s="36">
        <f>CH10</f>
        <v>4</v>
      </c>
      <c r="CJ9" s="149">
        <f>CH7</f>
        <v>1</v>
      </c>
      <c r="CK9" s="138">
        <f t="shared" si="39"/>
        <v>3</v>
      </c>
      <c r="CL9" s="36">
        <f>CK10</f>
        <v>4</v>
      </c>
      <c r="CM9" s="149">
        <f>CK8</f>
        <v>2</v>
      </c>
      <c r="CN9" s="138">
        <f t="shared" si="40"/>
        <v>3</v>
      </c>
      <c r="CO9" s="36">
        <f>CN10</f>
        <v>4</v>
      </c>
      <c r="CP9" s="36">
        <f>CN8</f>
        <v>2</v>
      </c>
      <c r="CQ9" s="138">
        <f t="shared" si="14"/>
        <v>3</v>
      </c>
      <c r="CR9" s="36">
        <f>CQ10</f>
        <v>4</v>
      </c>
      <c r="CS9" s="149">
        <f>CQ7</f>
        <v>1</v>
      </c>
      <c r="CT9" s="36">
        <f t="shared" si="15"/>
        <v>3</v>
      </c>
      <c r="CU9" s="36">
        <f>CT10</f>
        <v>4</v>
      </c>
      <c r="CV9" s="149">
        <f>CT7</f>
        <v>1</v>
      </c>
      <c r="CW9" s="138">
        <f>AF9</f>
        <v>3</v>
      </c>
      <c r="CX9" s="36">
        <f>CW10</f>
        <v>4</v>
      </c>
      <c r="CY9" s="149">
        <f>CW8</f>
        <v>2</v>
      </c>
      <c r="CZ9" s="138">
        <f>AF9</f>
        <v>3</v>
      </c>
      <c r="DA9" s="36">
        <f>CZ10</f>
        <v>4</v>
      </c>
      <c r="DB9" s="36">
        <f>CZ8</f>
        <v>2</v>
      </c>
      <c r="DC9" s="138">
        <f>AF9</f>
        <v>3</v>
      </c>
      <c r="DD9" s="36">
        <f>DC10</f>
        <v>4</v>
      </c>
      <c r="DE9" s="149">
        <f>DC7</f>
        <v>1</v>
      </c>
      <c r="DF9" s="138">
        <f>AF9</f>
        <v>3</v>
      </c>
      <c r="DG9" s="36">
        <f>DF10</f>
        <v>4</v>
      </c>
      <c r="DH9" s="36">
        <f>DF7</f>
        <v>1</v>
      </c>
      <c r="DI9" s="138">
        <f>AF9</f>
        <v>3</v>
      </c>
      <c r="DJ9" s="36" t="str">
        <f>AE1</f>
        <v>VL</v>
      </c>
      <c r="DK9" s="149">
        <f>DI7</f>
        <v>1</v>
      </c>
      <c r="DN9" s="36">
        <f t="shared" ref="DN9:DN38" si="128">DN8+1</f>
        <v>3</v>
      </c>
      <c r="DO9" s="138">
        <f t="shared" si="41"/>
        <v>3</v>
      </c>
      <c r="DP9" s="36">
        <f t="shared" si="42"/>
        <v>3</v>
      </c>
      <c r="DQ9" s="36">
        <f t="shared" si="43"/>
        <v>3</v>
      </c>
      <c r="DR9" s="36">
        <f t="shared" si="44"/>
        <v>3</v>
      </c>
      <c r="DS9" s="36">
        <f t="shared" si="45"/>
        <v>3</v>
      </c>
      <c r="DT9" s="36">
        <f t="shared" si="46"/>
        <v>3</v>
      </c>
      <c r="DU9" s="36">
        <f t="shared" si="47"/>
        <v>3</v>
      </c>
      <c r="DV9" s="36">
        <f t="shared" si="48"/>
        <v>3</v>
      </c>
      <c r="DW9" s="36">
        <f t="shared" si="49"/>
        <v>3</v>
      </c>
      <c r="DX9" s="36">
        <f t="shared" si="50"/>
        <v>3</v>
      </c>
      <c r="DY9" s="36">
        <f t="shared" si="51"/>
        <v>3</v>
      </c>
      <c r="DZ9" s="36">
        <f t="shared" si="52"/>
        <v>3</v>
      </c>
      <c r="EA9" s="36">
        <f t="shared" si="53"/>
        <v>3</v>
      </c>
      <c r="EB9" s="36">
        <f t="shared" si="54"/>
        <v>3</v>
      </c>
      <c r="EC9" s="36">
        <f t="shared" si="55"/>
        <v>3</v>
      </c>
      <c r="ED9" s="36">
        <f t="shared" si="56"/>
        <v>3</v>
      </c>
      <c r="EE9" s="36">
        <f t="shared" si="57"/>
        <v>3</v>
      </c>
      <c r="EF9" s="36">
        <f t="shared" si="58"/>
        <v>3</v>
      </c>
      <c r="EG9" s="36">
        <f t="shared" si="59"/>
        <v>3</v>
      </c>
      <c r="EH9" s="36">
        <f t="shared" si="60"/>
        <v>3</v>
      </c>
      <c r="EI9" s="36">
        <f t="shared" si="61"/>
        <v>3</v>
      </c>
      <c r="EJ9" s="36">
        <f t="shared" si="62"/>
        <v>3</v>
      </c>
      <c r="EK9" s="36">
        <f t="shared" si="63"/>
        <v>3</v>
      </c>
      <c r="EL9" s="36">
        <f t="shared" si="64"/>
        <v>3</v>
      </c>
      <c r="EM9" s="36">
        <f t="shared" si="65"/>
        <v>3</v>
      </c>
      <c r="EN9" s="36">
        <f t="shared" si="66"/>
        <v>3</v>
      </c>
      <c r="EO9" s="149">
        <f t="shared" si="67"/>
        <v>3</v>
      </c>
      <c r="ES9" s="36">
        <f t="shared" ref="ES9:ES38" si="129">ES8+1</f>
        <v>3</v>
      </c>
      <c r="ET9" s="138">
        <f t="shared" si="68"/>
        <v>4</v>
      </c>
      <c r="EU9" s="36">
        <f t="shared" si="69"/>
        <v>4</v>
      </c>
      <c r="EV9" s="36">
        <f t="shared" si="70"/>
        <v>4</v>
      </c>
      <c r="EW9" s="36">
        <f t="shared" si="71"/>
        <v>4</v>
      </c>
      <c r="EX9" s="36">
        <f t="shared" si="72"/>
        <v>4</v>
      </c>
      <c r="EY9" s="36">
        <f t="shared" si="73"/>
        <v>4</v>
      </c>
      <c r="EZ9" s="36">
        <f t="shared" si="74"/>
        <v>4</v>
      </c>
      <c r="FA9" s="36">
        <f t="shared" si="75"/>
        <v>4</v>
      </c>
      <c r="FB9" s="36">
        <f t="shared" si="76"/>
        <v>4</v>
      </c>
      <c r="FC9" s="36">
        <f t="shared" si="77"/>
        <v>4</v>
      </c>
      <c r="FD9" s="36">
        <f t="shared" si="78"/>
        <v>4</v>
      </c>
      <c r="FE9" s="36">
        <f t="shared" si="79"/>
        <v>4</v>
      </c>
      <c r="FF9" s="36">
        <f t="shared" si="80"/>
        <v>4</v>
      </c>
      <c r="FG9" s="36">
        <f t="shared" si="81"/>
        <v>4</v>
      </c>
      <c r="FH9" s="36">
        <f t="shared" si="82"/>
        <v>4</v>
      </c>
      <c r="FI9" s="36">
        <f t="shared" si="83"/>
        <v>4</v>
      </c>
      <c r="FJ9" s="36">
        <f t="shared" si="84"/>
        <v>4</v>
      </c>
      <c r="FK9" s="36">
        <f t="shared" si="85"/>
        <v>4</v>
      </c>
      <c r="FL9" s="36">
        <f t="shared" si="86"/>
        <v>4</v>
      </c>
      <c r="FM9" s="36">
        <f t="shared" si="87"/>
        <v>4</v>
      </c>
      <c r="FN9" s="36">
        <f t="shared" si="88"/>
        <v>4</v>
      </c>
      <c r="FO9" s="36">
        <f t="shared" si="89"/>
        <v>4</v>
      </c>
      <c r="FP9" s="36">
        <f t="shared" si="90"/>
        <v>4</v>
      </c>
      <c r="FQ9" s="36">
        <f t="shared" si="91"/>
        <v>4</v>
      </c>
      <c r="FR9" s="36">
        <f t="shared" si="92"/>
        <v>4</v>
      </c>
      <c r="FS9" s="36">
        <f t="shared" si="93"/>
        <v>4</v>
      </c>
      <c r="FT9" s="149" t="str">
        <f t="shared" si="94"/>
        <v>VL</v>
      </c>
      <c r="FX9" s="36">
        <f t="shared" ref="FX9:FX38" si="130">FX8+1</f>
        <v>3</v>
      </c>
      <c r="FY9" s="138">
        <f t="shared" si="95"/>
        <v>1</v>
      </c>
      <c r="FZ9" s="36">
        <f t="shared" si="96"/>
        <v>1</v>
      </c>
      <c r="GA9" s="36">
        <f t="shared" si="97"/>
        <v>2</v>
      </c>
      <c r="GB9" s="36">
        <f t="shared" si="98"/>
        <v>2</v>
      </c>
      <c r="GC9" s="36">
        <f t="shared" si="99"/>
        <v>1</v>
      </c>
      <c r="GD9" s="36">
        <f t="shared" si="100"/>
        <v>1</v>
      </c>
      <c r="GE9" s="36">
        <f t="shared" si="101"/>
        <v>2</v>
      </c>
      <c r="GF9" s="36">
        <f t="shared" si="102"/>
        <v>2</v>
      </c>
      <c r="GG9" s="36">
        <f t="shared" si="103"/>
        <v>1</v>
      </c>
      <c r="GH9" s="36">
        <f t="shared" si="104"/>
        <v>1</v>
      </c>
      <c r="GI9" s="36">
        <f t="shared" si="105"/>
        <v>2</v>
      </c>
      <c r="GJ9" s="36">
        <f t="shared" si="106"/>
        <v>2</v>
      </c>
      <c r="GK9" s="36">
        <f t="shared" si="107"/>
        <v>1</v>
      </c>
      <c r="GL9" s="36">
        <f t="shared" si="108"/>
        <v>1</v>
      </c>
      <c r="GM9" s="36">
        <f t="shared" si="109"/>
        <v>2</v>
      </c>
      <c r="GN9" s="36">
        <f t="shared" si="110"/>
        <v>2</v>
      </c>
      <c r="GO9" s="36">
        <f t="shared" si="111"/>
        <v>1</v>
      </c>
      <c r="GP9" s="36">
        <f t="shared" si="112"/>
        <v>1</v>
      </c>
      <c r="GQ9" s="36">
        <f t="shared" si="113"/>
        <v>2</v>
      </c>
      <c r="GR9" s="36">
        <f t="shared" si="114"/>
        <v>2</v>
      </c>
      <c r="GS9" s="36">
        <f t="shared" si="115"/>
        <v>1</v>
      </c>
      <c r="GT9" s="36">
        <f t="shared" si="116"/>
        <v>1</v>
      </c>
      <c r="GU9" s="36">
        <f t="shared" si="117"/>
        <v>2</v>
      </c>
      <c r="GV9" s="36">
        <f t="shared" si="118"/>
        <v>2</v>
      </c>
      <c r="GW9" s="36">
        <f t="shared" si="119"/>
        <v>1</v>
      </c>
      <c r="GX9" s="36">
        <f t="shared" si="120"/>
        <v>1</v>
      </c>
      <c r="GY9" s="149">
        <f t="shared" si="121"/>
        <v>1</v>
      </c>
      <c r="HD9" s="36">
        <f t="shared" ref="HD9:HD38" si="131">HD8+1</f>
        <v>3</v>
      </c>
      <c r="HE9" s="36">
        <f t="shared" si="122"/>
        <v>3</v>
      </c>
      <c r="HF9" s="36" t="str">
        <f t="shared" si="123"/>
        <v>VL</v>
      </c>
      <c r="HG9" s="36">
        <f t="shared" si="124"/>
        <v>1</v>
      </c>
      <c r="HJ9" s="36">
        <f>HJ7+1</f>
        <v>2</v>
      </c>
      <c r="HK9" s="152">
        <f>IF(HE8=0,"",HE8)</f>
        <v>2</v>
      </c>
      <c r="HL9" s="36">
        <f>IF(HF8=0,"",HF8)</f>
        <v>1</v>
      </c>
      <c r="HM9" s="153" t="str">
        <f>IF(HG8=0,"",HG8)</f>
        <v>VL</v>
      </c>
      <c r="HQ9" s="159" t="str">
        <f t="shared" si="125"/>
        <v xml:space="preserve">Jabłońska Natasza </v>
      </c>
      <c r="HR9" s="160" t="str">
        <f t="shared" si="126"/>
        <v>ULSK</v>
      </c>
      <c r="HU9" s="36">
        <v>3</v>
      </c>
      <c r="HV9" s="36">
        <f t="shared" ref="HV9:HV38" si="132">HV8+1</f>
        <v>3</v>
      </c>
      <c r="HW9" s="139">
        <v>3</v>
      </c>
      <c r="HX9" s="136">
        <v>3</v>
      </c>
      <c r="HY9" s="136">
        <v>1</v>
      </c>
      <c r="HZ9" s="136">
        <v>1</v>
      </c>
      <c r="IA9" s="136">
        <v>3</v>
      </c>
      <c r="IB9" s="136">
        <v>3</v>
      </c>
      <c r="IC9" s="136">
        <v>1</v>
      </c>
      <c r="ID9" s="136">
        <v>1</v>
      </c>
      <c r="IE9" s="136">
        <v>3</v>
      </c>
      <c r="IF9" s="136">
        <v>3</v>
      </c>
      <c r="IG9" s="136">
        <v>1</v>
      </c>
      <c r="IH9" s="136">
        <v>1</v>
      </c>
      <c r="II9" s="136">
        <v>3</v>
      </c>
      <c r="IJ9" s="136">
        <v>3</v>
      </c>
      <c r="IK9" s="136">
        <v>1</v>
      </c>
      <c r="IL9" s="136">
        <v>1</v>
      </c>
      <c r="IM9" s="136">
        <v>3</v>
      </c>
      <c r="IN9" s="136">
        <v>3</v>
      </c>
      <c r="IO9" s="136">
        <v>4</v>
      </c>
      <c r="IP9" s="136">
        <v>4</v>
      </c>
      <c r="IQ9" s="136">
        <v>3</v>
      </c>
      <c r="IR9" s="136">
        <v>3</v>
      </c>
      <c r="IS9" s="136">
        <v>1</v>
      </c>
      <c r="IT9" s="136">
        <v>1</v>
      </c>
      <c r="IU9" s="136">
        <v>3</v>
      </c>
      <c r="IV9" s="136">
        <v>3</v>
      </c>
      <c r="IW9" s="166">
        <v>1</v>
      </c>
      <c r="IY9" s="36">
        <f t="shared" si="127"/>
        <v>1</v>
      </c>
    </row>
    <row r="10" spans="1:259" ht="15.9" customHeight="1" x14ac:dyDescent="0.3">
      <c r="A10" s="104">
        <v>4</v>
      </c>
      <c r="B10" s="99" t="s">
        <v>72</v>
      </c>
      <c r="C10" s="97">
        <v>39</v>
      </c>
      <c r="D10" s="96" t="s">
        <v>80</v>
      </c>
      <c r="E10" s="10" t="s">
        <v>81</v>
      </c>
      <c r="F10" s="9">
        <v>2014</v>
      </c>
      <c r="G10" s="97">
        <v>129</v>
      </c>
      <c r="H10" s="98">
        <v>37.9</v>
      </c>
      <c r="I10" s="91" t="s">
        <v>75</v>
      </c>
      <c r="K10" s="82" t="str">
        <f>[1]List1!$B$111</f>
        <v>žáci</v>
      </c>
      <c r="L10" s="83" t="str">
        <f t="shared" si="11"/>
        <v/>
      </c>
      <c r="N10" s="67" t="str">
        <f>X10</f>
        <v>výsledky</v>
      </c>
      <c r="O10" s="67" t="str">
        <f>IF(AA23&gt;0,#REF!,(Y12))</f>
        <v>OK</v>
      </c>
      <c r="U10" s="36" t="str">
        <f>IF(L10="x",1,"")</f>
        <v/>
      </c>
      <c r="V10" s="36" t="str">
        <f t="shared" si="12"/>
        <v/>
      </c>
      <c r="W10" s="36">
        <f t="shared" ref="W10:W22" si="133">IF(L10="x",1,0)</f>
        <v>0</v>
      </c>
      <c r="X10" s="53" t="str">
        <f>$T$23</f>
        <v>výsledky</v>
      </c>
      <c r="Y10" s="36">
        <f>Y7+Y8</f>
        <v>1</v>
      </c>
      <c r="Z10" s="1">
        <f t="shared" si="16"/>
        <v>0</v>
      </c>
      <c r="AA10" t="str">
        <f t="shared" si="17"/>
        <v/>
      </c>
      <c r="AB10" s="53" t="str">
        <f>[1]List1!$A$111</f>
        <v>U15</v>
      </c>
      <c r="AC10" t="str">
        <f t="shared" si="18"/>
        <v/>
      </c>
      <c r="AE10" s="36">
        <f t="shared" si="19"/>
        <v>1</v>
      </c>
      <c r="AF10" s="36">
        <f t="shared" si="20"/>
        <v>4</v>
      </c>
      <c r="AH10" s="36">
        <v>4</v>
      </c>
      <c r="AI10" s="138">
        <f t="shared" si="21"/>
        <v>4</v>
      </c>
      <c r="AJ10" s="36">
        <f>AF9</f>
        <v>3</v>
      </c>
      <c r="AK10" s="149">
        <f>AI8</f>
        <v>2</v>
      </c>
      <c r="AL10" s="36">
        <f t="shared" si="22"/>
        <v>4</v>
      </c>
      <c r="AM10" s="36">
        <f t="shared" si="23"/>
        <v>3</v>
      </c>
      <c r="AN10" s="149">
        <f>AL8</f>
        <v>2</v>
      </c>
      <c r="AO10" s="138">
        <f t="shared" si="24"/>
        <v>4</v>
      </c>
      <c r="AP10" s="36">
        <f>AO9</f>
        <v>3</v>
      </c>
      <c r="AQ10" s="149">
        <f>AO11</f>
        <v>5</v>
      </c>
      <c r="AR10" s="36">
        <f t="shared" si="25"/>
        <v>4</v>
      </c>
      <c r="AS10" s="36">
        <f>AR9</f>
        <v>3</v>
      </c>
      <c r="AT10" s="149">
        <f>AR11</f>
        <v>5</v>
      </c>
      <c r="AU10" s="138">
        <f t="shared" si="26"/>
        <v>4</v>
      </c>
      <c r="AV10" s="36">
        <f>AU9</f>
        <v>3</v>
      </c>
      <c r="AW10" s="149">
        <f>AU8</f>
        <v>2</v>
      </c>
      <c r="AX10" s="138">
        <f t="shared" si="27"/>
        <v>4</v>
      </c>
      <c r="AY10" s="36">
        <f>AX9</f>
        <v>3</v>
      </c>
      <c r="AZ10" s="149">
        <f>AX8</f>
        <v>2</v>
      </c>
      <c r="BA10" s="138">
        <f t="shared" si="28"/>
        <v>4</v>
      </c>
      <c r="BB10" s="36">
        <f>BA9</f>
        <v>3</v>
      </c>
      <c r="BC10" s="149">
        <f>BA11</f>
        <v>5</v>
      </c>
      <c r="BD10" s="36">
        <f t="shared" si="29"/>
        <v>4</v>
      </c>
      <c r="BE10" s="36">
        <f>BD9</f>
        <v>3</v>
      </c>
      <c r="BF10" s="149">
        <f>BD11</f>
        <v>5</v>
      </c>
      <c r="BG10" s="138">
        <f t="shared" si="30"/>
        <v>4</v>
      </c>
      <c r="BH10" s="36">
        <f>BG9</f>
        <v>3</v>
      </c>
      <c r="BI10" s="149">
        <f>BG8</f>
        <v>2</v>
      </c>
      <c r="BJ10" s="138">
        <f t="shared" si="31"/>
        <v>4</v>
      </c>
      <c r="BK10" s="36">
        <f>BJ9</f>
        <v>3</v>
      </c>
      <c r="BL10" s="149">
        <f>BJ8</f>
        <v>2</v>
      </c>
      <c r="BM10" s="138">
        <f t="shared" si="32"/>
        <v>4</v>
      </c>
      <c r="BN10" s="36">
        <f>BM9</f>
        <v>3</v>
      </c>
      <c r="BO10" s="149">
        <f>BM11</f>
        <v>5</v>
      </c>
      <c r="BP10" s="36">
        <f t="shared" si="33"/>
        <v>4</v>
      </c>
      <c r="BQ10" s="36">
        <f>BP9</f>
        <v>3</v>
      </c>
      <c r="BR10" s="149">
        <f>BP11</f>
        <v>5</v>
      </c>
      <c r="BS10" s="138">
        <f t="shared" si="34"/>
        <v>4</v>
      </c>
      <c r="BT10" s="36">
        <f>BS9</f>
        <v>3</v>
      </c>
      <c r="BU10" s="149">
        <f>BS8</f>
        <v>2</v>
      </c>
      <c r="BV10" s="138">
        <f t="shared" si="35"/>
        <v>4</v>
      </c>
      <c r="BW10" s="36">
        <f>BV9</f>
        <v>3</v>
      </c>
      <c r="BX10" s="149">
        <f>BV8</f>
        <v>2</v>
      </c>
      <c r="BY10" s="138">
        <f t="shared" si="36"/>
        <v>4</v>
      </c>
      <c r="BZ10" s="36">
        <f>BY9</f>
        <v>3</v>
      </c>
      <c r="CA10" s="149">
        <f>BY11</f>
        <v>5</v>
      </c>
      <c r="CB10" s="36">
        <f t="shared" si="13"/>
        <v>4</v>
      </c>
      <c r="CC10" s="36">
        <f>CB9</f>
        <v>3</v>
      </c>
      <c r="CD10" s="149">
        <f>CB11</f>
        <v>5</v>
      </c>
      <c r="CE10" s="138">
        <f t="shared" si="37"/>
        <v>4</v>
      </c>
      <c r="CF10" s="36">
        <f>CE9</f>
        <v>3</v>
      </c>
      <c r="CG10" s="149">
        <f>CE8</f>
        <v>2</v>
      </c>
      <c r="CH10" s="36">
        <f t="shared" si="38"/>
        <v>4</v>
      </c>
      <c r="CI10" s="36">
        <f>CH9</f>
        <v>3</v>
      </c>
      <c r="CJ10" s="149">
        <f>CH8</f>
        <v>2</v>
      </c>
      <c r="CK10" s="138">
        <f t="shared" si="39"/>
        <v>4</v>
      </c>
      <c r="CL10" s="36">
        <f>CK9</f>
        <v>3</v>
      </c>
      <c r="CM10" s="149">
        <f>CK11</f>
        <v>5</v>
      </c>
      <c r="CN10" s="138">
        <f t="shared" si="40"/>
        <v>4</v>
      </c>
      <c r="CO10" s="36">
        <f>CN9</f>
        <v>3</v>
      </c>
      <c r="CP10" s="36">
        <f>CN11</f>
        <v>5</v>
      </c>
      <c r="CQ10" s="138">
        <f t="shared" si="14"/>
        <v>4</v>
      </c>
      <c r="CR10" s="36">
        <f>CQ9</f>
        <v>3</v>
      </c>
      <c r="CS10" s="149">
        <f>CQ12</f>
        <v>6</v>
      </c>
      <c r="CT10" s="36">
        <f t="shared" si="15"/>
        <v>4</v>
      </c>
      <c r="CU10" s="36">
        <f>CT9</f>
        <v>3</v>
      </c>
      <c r="CV10" s="149">
        <f>CT12</f>
        <v>6</v>
      </c>
      <c r="CW10" s="138">
        <f>AF10</f>
        <v>4</v>
      </c>
      <c r="CX10" s="36">
        <f>CW9</f>
        <v>3</v>
      </c>
      <c r="CY10" s="149" t="str">
        <f>CX11</f>
        <v>VL</v>
      </c>
      <c r="CZ10" s="138">
        <f>AF10</f>
        <v>4</v>
      </c>
      <c r="DA10" s="36">
        <f>CZ9</f>
        <v>3</v>
      </c>
      <c r="DB10" s="36" t="str">
        <f>DA11</f>
        <v>VL</v>
      </c>
      <c r="DC10" s="138">
        <f>AF10</f>
        <v>4</v>
      </c>
      <c r="DD10" s="36">
        <f>DC9</f>
        <v>3</v>
      </c>
      <c r="DE10" s="149">
        <f>DC8</f>
        <v>2</v>
      </c>
      <c r="DF10" s="138">
        <f>AF10</f>
        <v>4</v>
      </c>
      <c r="DG10" s="36">
        <f>DF9</f>
        <v>3</v>
      </c>
      <c r="DH10" s="36">
        <f>DF8</f>
        <v>2</v>
      </c>
      <c r="DI10" s="138"/>
      <c r="DK10" s="149"/>
      <c r="DN10" s="36">
        <f t="shared" si="128"/>
        <v>4</v>
      </c>
      <c r="DO10" s="138">
        <f t="shared" si="41"/>
        <v>4</v>
      </c>
      <c r="DP10" s="36">
        <f t="shared" si="42"/>
        <v>4</v>
      </c>
      <c r="DQ10" s="36">
        <f t="shared" si="43"/>
        <v>4</v>
      </c>
      <c r="DR10" s="36">
        <f t="shared" si="44"/>
        <v>4</v>
      </c>
      <c r="DS10" s="36">
        <f t="shared" si="45"/>
        <v>4</v>
      </c>
      <c r="DT10" s="36">
        <f t="shared" si="46"/>
        <v>4</v>
      </c>
      <c r="DU10" s="36">
        <f t="shared" si="47"/>
        <v>4</v>
      </c>
      <c r="DV10" s="36">
        <f t="shared" si="48"/>
        <v>4</v>
      </c>
      <c r="DW10" s="36">
        <f t="shared" si="49"/>
        <v>4</v>
      </c>
      <c r="DX10" s="36">
        <f t="shared" si="50"/>
        <v>4</v>
      </c>
      <c r="DY10" s="36">
        <f t="shared" si="51"/>
        <v>4</v>
      </c>
      <c r="DZ10" s="36">
        <f t="shared" si="52"/>
        <v>4</v>
      </c>
      <c r="EA10" s="36">
        <f t="shared" si="53"/>
        <v>4</v>
      </c>
      <c r="EB10" s="36">
        <f t="shared" si="54"/>
        <v>4</v>
      </c>
      <c r="EC10" s="36">
        <f t="shared" si="55"/>
        <v>4</v>
      </c>
      <c r="ED10" s="36">
        <f t="shared" si="56"/>
        <v>4</v>
      </c>
      <c r="EE10" s="36">
        <f t="shared" si="57"/>
        <v>4</v>
      </c>
      <c r="EF10" s="36">
        <f t="shared" si="58"/>
        <v>4</v>
      </c>
      <c r="EG10" s="36">
        <f t="shared" si="59"/>
        <v>4</v>
      </c>
      <c r="EH10" s="36">
        <f t="shared" si="60"/>
        <v>4</v>
      </c>
      <c r="EI10" s="36">
        <f t="shared" si="61"/>
        <v>4</v>
      </c>
      <c r="EJ10" s="36">
        <f t="shared" si="62"/>
        <v>4</v>
      </c>
      <c r="EK10" s="36">
        <f t="shared" si="63"/>
        <v>4</v>
      </c>
      <c r="EL10" s="36">
        <f t="shared" si="64"/>
        <v>4</v>
      </c>
      <c r="EM10" s="36">
        <f t="shared" si="65"/>
        <v>4</v>
      </c>
      <c r="EN10" s="36">
        <f t="shared" si="66"/>
        <v>4</v>
      </c>
      <c r="EO10" s="149">
        <f t="shared" si="67"/>
        <v>0</v>
      </c>
      <c r="ES10" s="36">
        <f t="shared" si="129"/>
        <v>4</v>
      </c>
      <c r="ET10" s="138">
        <f t="shared" si="68"/>
        <v>3</v>
      </c>
      <c r="EU10" s="36">
        <f t="shared" si="69"/>
        <v>3</v>
      </c>
      <c r="EV10" s="36">
        <f t="shared" si="70"/>
        <v>3</v>
      </c>
      <c r="EW10" s="36">
        <f t="shared" si="71"/>
        <v>3</v>
      </c>
      <c r="EX10" s="36">
        <f t="shared" si="72"/>
        <v>3</v>
      </c>
      <c r="EY10" s="36">
        <f t="shared" si="73"/>
        <v>3</v>
      </c>
      <c r="EZ10" s="36">
        <f t="shared" si="74"/>
        <v>3</v>
      </c>
      <c r="FA10" s="36">
        <f t="shared" si="75"/>
        <v>3</v>
      </c>
      <c r="FB10" s="36">
        <f t="shared" si="76"/>
        <v>3</v>
      </c>
      <c r="FC10" s="36">
        <f t="shared" si="77"/>
        <v>3</v>
      </c>
      <c r="FD10" s="36">
        <f t="shared" si="78"/>
        <v>3</v>
      </c>
      <c r="FE10" s="36">
        <f t="shared" si="79"/>
        <v>3</v>
      </c>
      <c r="FF10" s="36">
        <f t="shared" si="80"/>
        <v>3</v>
      </c>
      <c r="FG10" s="36">
        <f t="shared" si="81"/>
        <v>3</v>
      </c>
      <c r="FH10" s="36">
        <f t="shared" si="82"/>
        <v>3</v>
      </c>
      <c r="FI10" s="36">
        <f t="shared" si="83"/>
        <v>3</v>
      </c>
      <c r="FJ10" s="36">
        <f t="shared" si="84"/>
        <v>3</v>
      </c>
      <c r="FK10" s="36">
        <f t="shared" si="85"/>
        <v>3</v>
      </c>
      <c r="FL10" s="36">
        <f t="shared" si="86"/>
        <v>3</v>
      </c>
      <c r="FM10" s="36">
        <f t="shared" si="87"/>
        <v>3</v>
      </c>
      <c r="FN10" s="36">
        <f t="shared" si="88"/>
        <v>3</v>
      </c>
      <c r="FO10" s="36">
        <f t="shared" si="89"/>
        <v>3</v>
      </c>
      <c r="FP10" s="36">
        <f t="shared" si="90"/>
        <v>3</v>
      </c>
      <c r="FQ10" s="36">
        <f t="shared" si="91"/>
        <v>3</v>
      </c>
      <c r="FR10" s="36">
        <f t="shared" si="92"/>
        <v>3</v>
      </c>
      <c r="FS10" s="36">
        <f t="shared" si="93"/>
        <v>3</v>
      </c>
      <c r="FT10" s="149">
        <f t="shared" si="94"/>
        <v>0</v>
      </c>
      <c r="FX10" s="36">
        <f t="shared" si="130"/>
        <v>4</v>
      </c>
      <c r="FY10" s="138">
        <f t="shared" si="95"/>
        <v>2</v>
      </c>
      <c r="FZ10" s="36">
        <f t="shared" si="96"/>
        <v>2</v>
      </c>
      <c r="GA10" s="36">
        <f t="shared" si="97"/>
        <v>5</v>
      </c>
      <c r="GB10" s="36">
        <f t="shared" si="98"/>
        <v>5</v>
      </c>
      <c r="GC10" s="36">
        <f t="shared" si="99"/>
        <v>2</v>
      </c>
      <c r="GD10" s="36">
        <f t="shared" si="100"/>
        <v>2</v>
      </c>
      <c r="GE10" s="36">
        <f t="shared" si="101"/>
        <v>5</v>
      </c>
      <c r="GF10" s="36">
        <f t="shared" si="102"/>
        <v>5</v>
      </c>
      <c r="GG10" s="36">
        <f t="shared" si="103"/>
        <v>2</v>
      </c>
      <c r="GH10" s="36">
        <f t="shared" si="104"/>
        <v>2</v>
      </c>
      <c r="GI10" s="36">
        <f t="shared" si="105"/>
        <v>5</v>
      </c>
      <c r="GJ10" s="36">
        <f t="shared" si="106"/>
        <v>5</v>
      </c>
      <c r="GK10" s="36">
        <f t="shared" si="107"/>
        <v>2</v>
      </c>
      <c r="GL10" s="36">
        <f t="shared" si="108"/>
        <v>2</v>
      </c>
      <c r="GM10" s="36">
        <f t="shared" si="109"/>
        <v>5</v>
      </c>
      <c r="GN10" s="36">
        <f t="shared" si="110"/>
        <v>5</v>
      </c>
      <c r="GO10" s="36">
        <f t="shared" si="111"/>
        <v>2</v>
      </c>
      <c r="GP10" s="36">
        <f t="shared" si="112"/>
        <v>2</v>
      </c>
      <c r="GQ10" s="36">
        <f t="shared" si="113"/>
        <v>5</v>
      </c>
      <c r="GR10" s="36">
        <f t="shared" si="114"/>
        <v>5</v>
      </c>
      <c r="GS10" s="36">
        <f t="shared" si="115"/>
        <v>6</v>
      </c>
      <c r="GT10" s="36">
        <f t="shared" si="116"/>
        <v>6</v>
      </c>
      <c r="GU10" s="36" t="str">
        <f t="shared" si="117"/>
        <v>VL</v>
      </c>
      <c r="GV10" s="36" t="str">
        <f t="shared" si="118"/>
        <v>VL</v>
      </c>
      <c r="GW10" s="36">
        <f t="shared" si="119"/>
        <v>2</v>
      </c>
      <c r="GX10" s="36">
        <f t="shared" si="120"/>
        <v>2</v>
      </c>
      <c r="GY10" s="149">
        <f t="shared" si="121"/>
        <v>0</v>
      </c>
      <c r="HD10" s="36">
        <f t="shared" si="131"/>
        <v>4</v>
      </c>
      <c r="HE10" s="36">
        <f t="shared" si="122"/>
        <v>0</v>
      </c>
      <c r="HF10" s="36">
        <f t="shared" si="123"/>
        <v>0</v>
      </c>
      <c r="HG10" s="36">
        <f t="shared" si="124"/>
        <v>0</v>
      </c>
      <c r="HK10" s="152"/>
      <c r="HM10" s="153"/>
      <c r="HQ10" s="159" t="str">
        <f t="shared" si="125"/>
        <v/>
      </c>
      <c r="HR10" s="160" t="str">
        <f t="shared" si="126"/>
        <v/>
      </c>
      <c r="HU10" s="36">
        <v>4</v>
      </c>
      <c r="HV10" s="36">
        <f t="shared" si="132"/>
        <v>4</v>
      </c>
      <c r="HW10" s="139">
        <v>4</v>
      </c>
      <c r="HX10" s="136">
        <v>4</v>
      </c>
      <c r="HY10" s="136">
        <v>2</v>
      </c>
      <c r="HZ10" s="136">
        <v>2</v>
      </c>
      <c r="IA10" s="136">
        <v>4</v>
      </c>
      <c r="IB10" s="136">
        <v>4</v>
      </c>
      <c r="IC10" s="136">
        <v>2</v>
      </c>
      <c r="ID10" s="136">
        <v>2</v>
      </c>
      <c r="IE10" s="136">
        <v>4</v>
      </c>
      <c r="IF10" s="136">
        <v>4</v>
      </c>
      <c r="IG10" s="136">
        <v>2</v>
      </c>
      <c r="IH10" s="136">
        <v>2</v>
      </c>
      <c r="II10" s="136">
        <v>4</v>
      </c>
      <c r="IJ10" s="136">
        <v>4</v>
      </c>
      <c r="IK10" s="136">
        <v>2</v>
      </c>
      <c r="IL10" s="136">
        <v>2</v>
      </c>
      <c r="IM10" s="136">
        <v>4</v>
      </c>
      <c r="IN10" s="136">
        <v>4</v>
      </c>
      <c r="IO10" s="136">
        <v>2</v>
      </c>
      <c r="IP10" s="136">
        <v>2</v>
      </c>
      <c r="IQ10" s="136">
        <v>4</v>
      </c>
      <c r="IR10" s="136">
        <v>4</v>
      </c>
      <c r="IS10" s="136">
        <v>2</v>
      </c>
      <c r="IT10" s="136">
        <v>2</v>
      </c>
      <c r="IU10" s="136">
        <v>4</v>
      </c>
      <c r="IV10" s="136">
        <v>4</v>
      </c>
      <c r="IW10" s="166">
        <v>0</v>
      </c>
      <c r="IY10" s="36">
        <f t="shared" si="127"/>
        <v>0</v>
      </c>
    </row>
    <row r="11" spans="1:259" ht="15.9" customHeight="1" x14ac:dyDescent="0.3">
      <c r="A11" s="104">
        <v>5</v>
      </c>
      <c r="B11" s="94" t="s">
        <v>72</v>
      </c>
      <c r="C11" s="95">
        <v>39</v>
      </c>
      <c r="D11" s="96" t="s">
        <v>82</v>
      </c>
      <c r="E11" s="10" t="s">
        <v>83</v>
      </c>
      <c r="F11" s="9">
        <v>2014</v>
      </c>
      <c r="G11" s="97">
        <v>134</v>
      </c>
      <c r="H11" s="98">
        <v>38.799999999999997</v>
      </c>
      <c r="I11" s="91" t="s">
        <v>75</v>
      </c>
      <c r="K11" s="84" t="str">
        <f>[1]List1!$B$110</f>
        <v>mladší žáci</v>
      </c>
      <c r="L11" s="85" t="str">
        <f t="shared" si="11"/>
        <v/>
      </c>
      <c r="U11" s="36" t="str">
        <f>IF(L11="x",20,"")</f>
        <v/>
      </c>
      <c r="V11" s="36" t="str">
        <f t="shared" si="12"/>
        <v/>
      </c>
      <c r="W11" s="36">
        <f t="shared" si="133"/>
        <v>0</v>
      </c>
      <c r="Z11" s="1">
        <f t="shared" si="16"/>
        <v>0</v>
      </c>
      <c r="AA11" t="str">
        <f t="shared" si="17"/>
        <v/>
      </c>
      <c r="AB11" s="53" t="str">
        <f>[1]List1!$A$110</f>
        <v>U13</v>
      </c>
      <c r="AC11" t="str">
        <f t="shared" si="18"/>
        <v/>
      </c>
      <c r="AE11" s="36">
        <f t="shared" si="19"/>
        <v>1</v>
      </c>
      <c r="AF11" s="36">
        <f t="shared" si="20"/>
        <v>5</v>
      </c>
      <c r="AH11" s="36">
        <v>5</v>
      </c>
      <c r="AI11" s="138">
        <f t="shared" si="21"/>
        <v>5</v>
      </c>
      <c r="AJ11" s="36">
        <f>AF12</f>
        <v>6</v>
      </c>
      <c r="AK11" s="149">
        <f>AI13</f>
        <v>7</v>
      </c>
      <c r="AL11" s="36">
        <f t="shared" si="22"/>
        <v>5</v>
      </c>
      <c r="AM11" s="36">
        <f t="shared" si="23"/>
        <v>6</v>
      </c>
      <c r="AN11" s="149">
        <f>AL13</f>
        <v>7</v>
      </c>
      <c r="AO11" s="138">
        <f t="shared" si="24"/>
        <v>5</v>
      </c>
      <c r="AP11" s="36">
        <f>AO12</f>
        <v>6</v>
      </c>
      <c r="AQ11" s="149">
        <f>AO10</f>
        <v>4</v>
      </c>
      <c r="AR11" s="36">
        <f t="shared" si="25"/>
        <v>5</v>
      </c>
      <c r="AS11" s="36">
        <f>AR12</f>
        <v>6</v>
      </c>
      <c r="AT11" s="149">
        <f>AR10</f>
        <v>4</v>
      </c>
      <c r="AU11" s="138">
        <f t="shared" si="26"/>
        <v>5</v>
      </c>
      <c r="AV11" s="36">
        <f>AU12</f>
        <v>6</v>
      </c>
      <c r="AW11" s="149">
        <f>AU13</f>
        <v>7</v>
      </c>
      <c r="AX11" s="138">
        <f t="shared" si="27"/>
        <v>5</v>
      </c>
      <c r="AY11" s="36">
        <f>AX12</f>
        <v>6</v>
      </c>
      <c r="AZ11" s="149">
        <f>AX13</f>
        <v>7</v>
      </c>
      <c r="BA11" s="138">
        <f t="shared" si="28"/>
        <v>5</v>
      </c>
      <c r="BB11" s="36">
        <f>BA12</f>
        <v>6</v>
      </c>
      <c r="BC11" s="149">
        <f>BA10</f>
        <v>4</v>
      </c>
      <c r="BD11" s="36">
        <f t="shared" si="29"/>
        <v>5</v>
      </c>
      <c r="BE11" s="36">
        <f>BD12</f>
        <v>6</v>
      </c>
      <c r="BF11" s="149">
        <f>BD10</f>
        <v>4</v>
      </c>
      <c r="BG11" s="138">
        <f t="shared" si="30"/>
        <v>5</v>
      </c>
      <c r="BH11" s="36">
        <f>BG12</f>
        <v>6</v>
      </c>
      <c r="BI11" s="149">
        <f>BG13</f>
        <v>7</v>
      </c>
      <c r="BJ11" s="138">
        <f t="shared" si="31"/>
        <v>5</v>
      </c>
      <c r="BK11" s="36">
        <f>BJ12</f>
        <v>6</v>
      </c>
      <c r="BL11" s="149">
        <f>BJ13</f>
        <v>7</v>
      </c>
      <c r="BM11" s="138">
        <f t="shared" si="32"/>
        <v>5</v>
      </c>
      <c r="BN11" s="36">
        <f>BM12</f>
        <v>6</v>
      </c>
      <c r="BO11" s="149">
        <f>BM10</f>
        <v>4</v>
      </c>
      <c r="BP11" s="36">
        <f t="shared" si="33"/>
        <v>5</v>
      </c>
      <c r="BQ11" s="36">
        <f>BP12</f>
        <v>6</v>
      </c>
      <c r="BR11" s="149">
        <f>BP10</f>
        <v>4</v>
      </c>
      <c r="BS11" s="138">
        <f t="shared" si="34"/>
        <v>5</v>
      </c>
      <c r="BT11" s="36">
        <f>BS12</f>
        <v>6</v>
      </c>
      <c r="BU11" s="149">
        <v>7</v>
      </c>
      <c r="BV11" s="138">
        <f t="shared" si="35"/>
        <v>5</v>
      </c>
      <c r="BW11" s="36">
        <f>BV12</f>
        <v>6</v>
      </c>
      <c r="BX11" s="149">
        <v>7</v>
      </c>
      <c r="BY11" s="138">
        <f t="shared" si="36"/>
        <v>5</v>
      </c>
      <c r="BZ11" s="36">
        <f>BY12</f>
        <v>6</v>
      </c>
      <c r="CA11" s="149">
        <f>BY10</f>
        <v>4</v>
      </c>
      <c r="CB11" s="36">
        <f t="shared" si="13"/>
        <v>5</v>
      </c>
      <c r="CC11" s="36">
        <f>CB12</f>
        <v>6</v>
      </c>
      <c r="CD11" s="149">
        <f>CB10</f>
        <v>4</v>
      </c>
      <c r="CE11" s="138">
        <f t="shared" si="37"/>
        <v>5</v>
      </c>
      <c r="CF11" s="36">
        <f>CE12</f>
        <v>6</v>
      </c>
      <c r="CG11" s="149">
        <f>CE13</f>
        <v>7</v>
      </c>
      <c r="CH11" s="36">
        <f t="shared" si="38"/>
        <v>5</v>
      </c>
      <c r="CI11" s="36">
        <f>CH12</f>
        <v>6</v>
      </c>
      <c r="CJ11" s="149">
        <f>CH13</f>
        <v>7</v>
      </c>
      <c r="CK11" s="138">
        <f t="shared" si="39"/>
        <v>5</v>
      </c>
      <c r="CL11" s="36">
        <f>CK12</f>
        <v>6</v>
      </c>
      <c r="CM11" s="149">
        <f>CK10</f>
        <v>4</v>
      </c>
      <c r="CN11" s="138">
        <f t="shared" si="40"/>
        <v>5</v>
      </c>
      <c r="CO11" s="36">
        <f>CN12</f>
        <v>6</v>
      </c>
      <c r="CP11" s="36">
        <f>CN10</f>
        <v>4</v>
      </c>
      <c r="CQ11" s="138">
        <f t="shared" si="14"/>
        <v>5</v>
      </c>
      <c r="CR11" s="36">
        <f>CQ12</f>
        <v>6</v>
      </c>
      <c r="CS11" s="149">
        <f>CQ8</f>
        <v>2</v>
      </c>
      <c r="CT11" s="36">
        <f t="shared" si="15"/>
        <v>5</v>
      </c>
      <c r="CU11" s="36">
        <f>CT12</f>
        <v>6</v>
      </c>
      <c r="CV11" s="149">
        <f>CT8</f>
        <v>2</v>
      </c>
      <c r="CW11" s="138">
        <f>AF11</f>
        <v>5</v>
      </c>
      <c r="CX11" s="36" t="str">
        <f>$AE$1</f>
        <v>VL</v>
      </c>
      <c r="CY11" s="149">
        <f>CW7</f>
        <v>1</v>
      </c>
      <c r="CZ11" s="138">
        <f>AF11</f>
        <v>5</v>
      </c>
      <c r="DA11" s="36" t="str">
        <f>$AE$1</f>
        <v>VL</v>
      </c>
      <c r="DB11" s="36">
        <f>CZ7</f>
        <v>1</v>
      </c>
      <c r="DC11" s="138"/>
      <c r="DE11" s="149"/>
      <c r="DF11" s="138"/>
      <c r="DI11" s="138"/>
      <c r="DK11" s="149"/>
      <c r="DN11" s="36">
        <f t="shared" si="128"/>
        <v>5</v>
      </c>
      <c r="DO11" s="138">
        <f t="shared" si="41"/>
        <v>5</v>
      </c>
      <c r="DP11" s="36">
        <f t="shared" si="42"/>
        <v>5</v>
      </c>
      <c r="DQ11" s="36">
        <f t="shared" si="43"/>
        <v>5</v>
      </c>
      <c r="DR11" s="36">
        <f t="shared" si="44"/>
        <v>5</v>
      </c>
      <c r="DS11" s="36">
        <f t="shared" si="45"/>
        <v>5</v>
      </c>
      <c r="DT11" s="36">
        <f t="shared" si="46"/>
        <v>5</v>
      </c>
      <c r="DU11" s="36">
        <f t="shared" si="47"/>
        <v>5</v>
      </c>
      <c r="DV11" s="36">
        <f t="shared" si="48"/>
        <v>5</v>
      </c>
      <c r="DW11" s="36">
        <f t="shared" si="49"/>
        <v>5</v>
      </c>
      <c r="DX11" s="36">
        <f t="shared" si="50"/>
        <v>5</v>
      </c>
      <c r="DY11" s="36">
        <f t="shared" si="51"/>
        <v>5</v>
      </c>
      <c r="DZ11" s="36">
        <f t="shared" si="52"/>
        <v>5</v>
      </c>
      <c r="EA11" s="36">
        <f t="shared" si="53"/>
        <v>5</v>
      </c>
      <c r="EB11" s="36">
        <f t="shared" si="54"/>
        <v>5</v>
      </c>
      <c r="EC11" s="36">
        <f t="shared" si="55"/>
        <v>5</v>
      </c>
      <c r="ED11" s="36">
        <f t="shared" si="56"/>
        <v>5</v>
      </c>
      <c r="EE11" s="36">
        <f t="shared" si="57"/>
        <v>5</v>
      </c>
      <c r="EF11" s="36">
        <f t="shared" si="58"/>
        <v>5</v>
      </c>
      <c r="EG11" s="36">
        <f t="shared" si="59"/>
        <v>5</v>
      </c>
      <c r="EH11" s="36">
        <f t="shared" si="60"/>
        <v>5</v>
      </c>
      <c r="EI11" s="36">
        <f t="shared" si="61"/>
        <v>5</v>
      </c>
      <c r="EJ11" s="36">
        <f t="shared" si="62"/>
        <v>5</v>
      </c>
      <c r="EK11" s="36">
        <f t="shared" si="63"/>
        <v>5</v>
      </c>
      <c r="EL11" s="36">
        <f t="shared" si="64"/>
        <v>5</v>
      </c>
      <c r="EM11" s="36">
        <f t="shared" si="65"/>
        <v>0</v>
      </c>
      <c r="EN11" s="36">
        <f t="shared" si="66"/>
        <v>0</v>
      </c>
      <c r="EO11" s="149">
        <f t="shared" si="67"/>
        <v>0</v>
      </c>
      <c r="ES11" s="36">
        <f t="shared" si="129"/>
        <v>5</v>
      </c>
      <c r="ET11" s="138">
        <f t="shared" si="68"/>
        <v>6</v>
      </c>
      <c r="EU11" s="36">
        <f t="shared" si="69"/>
        <v>6</v>
      </c>
      <c r="EV11" s="36">
        <f t="shared" si="70"/>
        <v>6</v>
      </c>
      <c r="EW11" s="36">
        <f t="shared" si="71"/>
        <v>6</v>
      </c>
      <c r="EX11" s="36">
        <f t="shared" si="72"/>
        <v>6</v>
      </c>
      <c r="EY11" s="36">
        <f t="shared" si="73"/>
        <v>6</v>
      </c>
      <c r="EZ11" s="36">
        <f t="shared" si="74"/>
        <v>6</v>
      </c>
      <c r="FA11" s="36">
        <f t="shared" si="75"/>
        <v>6</v>
      </c>
      <c r="FB11" s="36">
        <f t="shared" si="76"/>
        <v>6</v>
      </c>
      <c r="FC11" s="36">
        <f t="shared" si="77"/>
        <v>6</v>
      </c>
      <c r="FD11" s="36">
        <f t="shared" si="78"/>
        <v>6</v>
      </c>
      <c r="FE11" s="36">
        <f t="shared" si="79"/>
        <v>6</v>
      </c>
      <c r="FF11" s="36">
        <f t="shared" si="80"/>
        <v>6</v>
      </c>
      <c r="FG11" s="36">
        <f t="shared" si="81"/>
        <v>6</v>
      </c>
      <c r="FH11" s="36">
        <f t="shared" si="82"/>
        <v>6</v>
      </c>
      <c r="FI11" s="36">
        <f t="shared" si="83"/>
        <v>6</v>
      </c>
      <c r="FJ11" s="36">
        <f t="shared" si="84"/>
        <v>6</v>
      </c>
      <c r="FK11" s="36">
        <f t="shared" si="85"/>
        <v>6</v>
      </c>
      <c r="FL11" s="36">
        <f t="shared" si="86"/>
        <v>6</v>
      </c>
      <c r="FM11" s="36">
        <f t="shared" si="87"/>
        <v>6</v>
      </c>
      <c r="FN11" s="36">
        <f t="shared" si="88"/>
        <v>6</v>
      </c>
      <c r="FO11" s="36">
        <f t="shared" si="89"/>
        <v>6</v>
      </c>
      <c r="FP11" s="36" t="str">
        <f t="shared" si="90"/>
        <v>VL</v>
      </c>
      <c r="FQ11" s="36" t="str">
        <f t="shared" si="91"/>
        <v>VL</v>
      </c>
      <c r="FR11" s="36">
        <f t="shared" si="92"/>
        <v>0</v>
      </c>
      <c r="FS11" s="36">
        <f t="shared" si="93"/>
        <v>0</v>
      </c>
      <c r="FT11" s="149">
        <f t="shared" si="94"/>
        <v>0</v>
      </c>
      <c r="FX11" s="36">
        <f t="shared" si="130"/>
        <v>5</v>
      </c>
      <c r="FY11" s="138">
        <f t="shared" si="95"/>
        <v>7</v>
      </c>
      <c r="FZ11" s="36">
        <f t="shared" si="96"/>
        <v>7</v>
      </c>
      <c r="GA11" s="36">
        <f t="shared" si="97"/>
        <v>4</v>
      </c>
      <c r="GB11" s="36">
        <f t="shared" si="98"/>
        <v>4</v>
      </c>
      <c r="GC11" s="36">
        <f t="shared" si="99"/>
        <v>7</v>
      </c>
      <c r="GD11" s="36">
        <f t="shared" si="100"/>
        <v>7</v>
      </c>
      <c r="GE11" s="36">
        <f t="shared" si="101"/>
        <v>4</v>
      </c>
      <c r="GF11" s="36">
        <f t="shared" si="102"/>
        <v>4</v>
      </c>
      <c r="GG11" s="36">
        <f t="shared" si="103"/>
        <v>7</v>
      </c>
      <c r="GH11" s="36">
        <f t="shared" si="104"/>
        <v>7</v>
      </c>
      <c r="GI11" s="36">
        <f t="shared" si="105"/>
        <v>4</v>
      </c>
      <c r="GJ11" s="36">
        <f t="shared" si="106"/>
        <v>4</v>
      </c>
      <c r="GK11" s="36">
        <f t="shared" si="107"/>
        <v>7</v>
      </c>
      <c r="GL11" s="36">
        <f t="shared" si="108"/>
        <v>7</v>
      </c>
      <c r="GM11" s="36">
        <f t="shared" si="109"/>
        <v>4</v>
      </c>
      <c r="GN11" s="36">
        <f t="shared" si="110"/>
        <v>4</v>
      </c>
      <c r="GO11" s="36">
        <f t="shared" si="111"/>
        <v>7</v>
      </c>
      <c r="GP11" s="36">
        <f t="shared" si="112"/>
        <v>7</v>
      </c>
      <c r="GQ11" s="36">
        <f t="shared" si="113"/>
        <v>4</v>
      </c>
      <c r="GR11" s="36">
        <f t="shared" si="114"/>
        <v>4</v>
      </c>
      <c r="GS11" s="36">
        <f t="shared" si="115"/>
        <v>2</v>
      </c>
      <c r="GT11" s="36">
        <f t="shared" si="116"/>
        <v>2</v>
      </c>
      <c r="GU11" s="36">
        <f t="shared" si="117"/>
        <v>1</v>
      </c>
      <c r="GV11" s="36">
        <f t="shared" si="118"/>
        <v>1</v>
      </c>
      <c r="GW11" s="36">
        <f t="shared" si="119"/>
        <v>0</v>
      </c>
      <c r="GX11" s="36">
        <f t="shared" si="120"/>
        <v>0</v>
      </c>
      <c r="GY11" s="149">
        <f t="shared" si="121"/>
        <v>0</v>
      </c>
      <c r="HD11" s="36">
        <f t="shared" si="131"/>
        <v>5</v>
      </c>
      <c r="HE11" s="36">
        <f t="shared" si="122"/>
        <v>0</v>
      </c>
      <c r="HF11" s="36">
        <f t="shared" si="123"/>
        <v>0</v>
      </c>
      <c r="HG11" s="36">
        <f t="shared" si="124"/>
        <v>0</v>
      </c>
      <c r="HJ11" s="36">
        <f>HJ9+1</f>
        <v>3</v>
      </c>
      <c r="HK11" s="152">
        <f>IF(HE9=0,"",HE9)</f>
        <v>3</v>
      </c>
      <c r="HL11" s="36" t="str">
        <f>IF(HF9=0,"",HF9)</f>
        <v>VL</v>
      </c>
      <c r="HM11" s="153">
        <f>IF(HG9=0,"",HG9)</f>
        <v>1</v>
      </c>
      <c r="HQ11" s="159" t="str">
        <f t="shared" si="125"/>
        <v>MÍSAŘ Filip</v>
      </c>
      <c r="HR11" s="160" t="str">
        <f t="shared" si="126"/>
        <v>H.Brod</v>
      </c>
      <c r="HU11" s="36">
        <v>5</v>
      </c>
      <c r="HV11" s="36">
        <f t="shared" si="132"/>
        <v>5</v>
      </c>
      <c r="HW11" s="139">
        <v>5</v>
      </c>
      <c r="HX11" s="136">
        <v>5</v>
      </c>
      <c r="HY11" s="136">
        <v>3</v>
      </c>
      <c r="HZ11" s="136">
        <v>3</v>
      </c>
      <c r="IA11" s="136">
        <v>5</v>
      </c>
      <c r="IB11" s="136">
        <v>5</v>
      </c>
      <c r="IC11" s="136">
        <v>3</v>
      </c>
      <c r="ID11" s="136">
        <v>3</v>
      </c>
      <c r="IE11" s="136">
        <v>5</v>
      </c>
      <c r="IF11" s="136">
        <v>5</v>
      </c>
      <c r="IG11" s="136">
        <v>3</v>
      </c>
      <c r="IH11" s="136">
        <v>3</v>
      </c>
      <c r="II11" s="136">
        <v>5</v>
      </c>
      <c r="IJ11" s="136">
        <v>5</v>
      </c>
      <c r="IK11" s="136">
        <v>3</v>
      </c>
      <c r="IL11" s="136">
        <v>3</v>
      </c>
      <c r="IM11" s="136">
        <v>5</v>
      </c>
      <c r="IN11" s="136">
        <v>5</v>
      </c>
      <c r="IO11" s="136">
        <v>3</v>
      </c>
      <c r="IP11" s="136">
        <v>3</v>
      </c>
      <c r="IQ11" s="136">
        <v>5</v>
      </c>
      <c r="IR11" s="136">
        <v>5</v>
      </c>
      <c r="IS11" s="136">
        <v>3</v>
      </c>
      <c r="IT11" s="136">
        <v>3</v>
      </c>
      <c r="IU11" s="136">
        <v>0</v>
      </c>
      <c r="IV11" s="136">
        <v>0</v>
      </c>
      <c r="IW11" s="166">
        <v>0</v>
      </c>
      <c r="IY11" s="36">
        <f t="shared" si="127"/>
        <v>0</v>
      </c>
    </row>
    <row r="12" spans="1:259" ht="15.9" customHeight="1" x14ac:dyDescent="0.3">
      <c r="A12" s="104">
        <v>6</v>
      </c>
      <c r="B12" s="99" t="s">
        <v>72</v>
      </c>
      <c r="C12" s="97">
        <v>39</v>
      </c>
      <c r="D12" s="96" t="s">
        <v>84</v>
      </c>
      <c r="E12" s="10" t="s">
        <v>83</v>
      </c>
      <c r="F12" s="9">
        <v>2013</v>
      </c>
      <c r="G12" s="97">
        <v>151</v>
      </c>
      <c r="H12" s="98">
        <v>37.799999999999997</v>
      </c>
      <c r="I12" s="91" t="s">
        <v>75</v>
      </c>
      <c r="K12" s="67" t="str">
        <f>[1]List1!$B$109</f>
        <v xml:space="preserve">A přípravka žáci </v>
      </c>
      <c r="L12" s="36" t="str">
        <f t="shared" si="11"/>
        <v>x</v>
      </c>
      <c r="N12" s="67" t="str">
        <f>N6</f>
        <v>styl:</v>
      </c>
      <c r="O12" s="67" t="str">
        <f>IF(Y10=0,$T$37,(IF(AA23=0,(IF(Y10=2,#REF!,(IF(O7="x",N7,IF(O8="x",N8,""))))),$N$8)))</f>
        <v>v.s.</v>
      </c>
      <c r="U12" s="36">
        <f>IF(L12="x",20,"")</f>
        <v>20</v>
      </c>
      <c r="V12" s="36">
        <f t="shared" si="12"/>
        <v>1</v>
      </c>
      <c r="W12" s="36">
        <f t="shared" si="133"/>
        <v>1</v>
      </c>
      <c r="X12" s="53" t="str">
        <f>$T$23</f>
        <v>výsledky</v>
      </c>
      <c r="Y12" s="36" t="str">
        <f>IF(Y10=0,$T$37,(IF(Y10&lt;1,$T$36,IF(Y10&gt;1,#REF!,$T$36))))</f>
        <v>OK</v>
      </c>
      <c r="Z12" s="1">
        <f t="shared" si="16"/>
        <v>1</v>
      </c>
      <c r="AA12" t="str">
        <f t="shared" si="17"/>
        <v xml:space="preserve">A přípravka žáci </v>
      </c>
      <c r="AB12" s="53" t="str">
        <f>[1]List1!$A$109</f>
        <v>A příp</v>
      </c>
      <c r="AC12" t="str">
        <f t="shared" si="18"/>
        <v>A příp</v>
      </c>
      <c r="AE12" s="36">
        <f t="shared" si="19"/>
        <v>1</v>
      </c>
      <c r="AF12" s="36">
        <f t="shared" si="20"/>
        <v>6</v>
      </c>
      <c r="AH12" s="36">
        <v>6</v>
      </c>
      <c r="AI12" s="138">
        <f t="shared" si="21"/>
        <v>6</v>
      </c>
      <c r="AJ12" s="36">
        <f>AF11</f>
        <v>5</v>
      </c>
      <c r="AK12" s="149">
        <f>AI14</f>
        <v>8</v>
      </c>
      <c r="AL12" s="36">
        <f t="shared" si="22"/>
        <v>6</v>
      </c>
      <c r="AM12" s="36">
        <f t="shared" si="23"/>
        <v>5</v>
      </c>
      <c r="AN12" s="149">
        <f>AL14</f>
        <v>8</v>
      </c>
      <c r="AO12" s="138">
        <f t="shared" si="24"/>
        <v>6</v>
      </c>
      <c r="AP12" s="36">
        <f>AO11</f>
        <v>5</v>
      </c>
      <c r="AQ12" s="149">
        <f>AO13</f>
        <v>7</v>
      </c>
      <c r="AR12" s="36">
        <f t="shared" si="25"/>
        <v>6</v>
      </c>
      <c r="AS12" s="36">
        <f>AR11</f>
        <v>5</v>
      </c>
      <c r="AT12" s="149">
        <f>AR13</f>
        <v>7</v>
      </c>
      <c r="AU12" s="138">
        <f t="shared" si="26"/>
        <v>6</v>
      </c>
      <c r="AV12" s="36">
        <f>AU11</f>
        <v>5</v>
      </c>
      <c r="AW12" s="149">
        <f>AU14</f>
        <v>8</v>
      </c>
      <c r="AX12" s="138">
        <f t="shared" si="27"/>
        <v>6</v>
      </c>
      <c r="AY12" s="36">
        <f>AX11</f>
        <v>5</v>
      </c>
      <c r="AZ12" s="149">
        <f>AX14</f>
        <v>8</v>
      </c>
      <c r="BA12" s="138">
        <f t="shared" si="28"/>
        <v>6</v>
      </c>
      <c r="BB12" s="36">
        <f>BA11</f>
        <v>5</v>
      </c>
      <c r="BC12" s="149">
        <f>BA13</f>
        <v>7</v>
      </c>
      <c r="BD12" s="36">
        <f t="shared" si="29"/>
        <v>6</v>
      </c>
      <c r="BE12" s="36">
        <f>BD11</f>
        <v>5</v>
      </c>
      <c r="BF12" s="149">
        <f>BD13</f>
        <v>7</v>
      </c>
      <c r="BG12" s="138">
        <f t="shared" si="30"/>
        <v>6</v>
      </c>
      <c r="BH12" s="36">
        <f>BG11</f>
        <v>5</v>
      </c>
      <c r="BI12" s="149">
        <f>BG14</f>
        <v>8</v>
      </c>
      <c r="BJ12" s="138">
        <f t="shared" si="31"/>
        <v>6</v>
      </c>
      <c r="BK12" s="36">
        <f>BJ11</f>
        <v>5</v>
      </c>
      <c r="BL12" s="36">
        <f>BJ14</f>
        <v>8</v>
      </c>
      <c r="BM12" s="138">
        <f t="shared" si="32"/>
        <v>6</v>
      </c>
      <c r="BN12" s="36">
        <f>BM11</f>
        <v>5</v>
      </c>
      <c r="BO12" s="149">
        <f>BM13</f>
        <v>7</v>
      </c>
      <c r="BP12" s="36">
        <f t="shared" si="33"/>
        <v>6</v>
      </c>
      <c r="BQ12" s="36">
        <f>BP11</f>
        <v>5</v>
      </c>
      <c r="BR12" s="149">
        <f>BP13</f>
        <v>7</v>
      </c>
      <c r="BS12" s="138">
        <f t="shared" si="34"/>
        <v>6</v>
      </c>
      <c r="BT12" s="36">
        <f>BS11</f>
        <v>5</v>
      </c>
      <c r="BU12" s="149">
        <f>BS15</f>
        <v>9</v>
      </c>
      <c r="BV12" s="138">
        <f t="shared" si="35"/>
        <v>6</v>
      </c>
      <c r="BW12" s="36">
        <f>BV11</f>
        <v>5</v>
      </c>
      <c r="BX12" s="149">
        <f>BV15</f>
        <v>9</v>
      </c>
      <c r="BY12" s="138">
        <f t="shared" si="36"/>
        <v>6</v>
      </c>
      <c r="BZ12" s="36">
        <f>BY11</f>
        <v>5</v>
      </c>
      <c r="CA12" s="149">
        <f>BY13</f>
        <v>7</v>
      </c>
      <c r="CB12" s="36">
        <f t="shared" si="13"/>
        <v>6</v>
      </c>
      <c r="CC12" s="36">
        <f>CB11</f>
        <v>5</v>
      </c>
      <c r="CD12" s="149">
        <f>CB13</f>
        <v>7</v>
      </c>
      <c r="CE12" s="138">
        <f t="shared" si="37"/>
        <v>6</v>
      </c>
      <c r="CF12" s="36">
        <f>CE11</f>
        <v>5</v>
      </c>
      <c r="CG12" s="149">
        <f>CE14</f>
        <v>8</v>
      </c>
      <c r="CH12" s="36">
        <f t="shared" si="38"/>
        <v>6</v>
      </c>
      <c r="CI12" s="36">
        <f>CH11</f>
        <v>5</v>
      </c>
      <c r="CJ12" s="149">
        <f>CH14</f>
        <v>8</v>
      </c>
      <c r="CK12" s="138">
        <f t="shared" si="39"/>
        <v>6</v>
      </c>
      <c r="CL12" s="36">
        <f>CK11</f>
        <v>5</v>
      </c>
      <c r="CM12" s="149" t="str">
        <f>CL13</f>
        <v>VL</v>
      </c>
      <c r="CN12" s="138">
        <f t="shared" si="40"/>
        <v>6</v>
      </c>
      <c r="CO12" s="36">
        <f>CN11</f>
        <v>5</v>
      </c>
      <c r="CP12" s="36" t="str">
        <f>CO13</f>
        <v>VL</v>
      </c>
      <c r="CQ12" s="138">
        <f t="shared" si="14"/>
        <v>6</v>
      </c>
      <c r="CR12" s="36">
        <f>CQ11</f>
        <v>5</v>
      </c>
      <c r="CS12" s="149">
        <f>CQ10</f>
        <v>4</v>
      </c>
      <c r="CT12" s="36">
        <f t="shared" si="15"/>
        <v>6</v>
      </c>
      <c r="CU12" s="36">
        <f>CT11</f>
        <v>5</v>
      </c>
      <c r="CV12" s="149">
        <f>CT10</f>
        <v>4</v>
      </c>
      <c r="CW12" s="138"/>
      <c r="CY12" s="149"/>
      <c r="DC12" s="138"/>
      <c r="DE12" s="149"/>
      <c r="DI12" s="138"/>
      <c r="DK12" s="149"/>
      <c r="DN12" s="36">
        <f t="shared" si="128"/>
        <v>6</v>
      </c>
      <c r="DO12" s="138">
        <f t="shared" si="41"/>
        <v>6</v>
      </c>
      <c r="DP12" s="36">
        <f t="shared" si="42"/>
        <v>6</v>
      </c>
      <c r="DQ12" s="36">
        <f t="shared" si="43"/>
        <v>6</v>
      </c>
      <c r="DR12" s="36">
        <f t="shared" si="44"/>
        <v>6</v>
      </c>
      <c r="DS12" s="36">
        <f t="shared" si="45"/>
        <v>6</v>
      </c>
      <c r="DT12" s="36">
        <f t="shared" si="46"/>
        <v>6</v>
      </c>
      <c r="DU12" s="36">
        <f t="shared" si="47"/>
        <v>6</v>
      </c>
      <c r="DV12" s="36">
        <f t="shared" si="48"/>
        <v>6</v>
      </c>
      <c r="DW12" s="36">
        <f t="shared" si="49"/>
        <v>6</v>
      </c>
      <c r="DX12" s="36">
        <f t="shared" si="50"/>
        <v>6</v>
      </c>
      <c r="DY12" s="36">
        <f t="shared" si="51"/>
        <v>6</v>
      </c>
      <c r="DZ12" s="36">
        <f t="shared" si="52"/>
        <v>6</v>
      </c>
      <c r="EA12" s="36">
        <f t="shared" si="53"/>
        <v>6</v>
      </c>
      <c r="EB12" s="36">
        <f t="shared" si="54"/>
        <v>6</v>
      </c>
      <c r="EC12" s="36">
        <f t="shared" si="55"/>
        <v>6</v>
      </c>
      <c r="ED12" s="36">
        <f t="shared" si="56"/>
        <v>6</v>
      </c>
      <c r="EE12" s="36">
        <f t="shared" si="57"/>
        <v>6</v>
      </c>
      <c r="EF12" s="36">
        <f t="shared" si="58"/>
        <v>6</v>
      </c>
      <c r="EG12" s="36">
        <f t="shared" si="59"/>
        <v>6</v>
      </c>
      <c r="EH12" s="36">
        <f t="shared" si="60"/>
        <v>6</v>
      </c>
      <c r="EI12" s="36">
        <f t="shared" si="61"/>
        <v>6</v>
      </c>
      <c r="EJ12" s="36">
        <f t="shared" si="62"/>
        <v>6</v>
      </c>
      <c r="EK12" s="36">
        <f t="shared" si="63"/>
        <v>0</v>
      </c>
      <c r="EL12" s="36">
        <f t="shared" si="64"/>
        <v>0</v>
      </c>
      <c r="EM12" s="36">
        <f t="shared" si="65"/>
        <v>0</v>
      </c>
      <c r="EN12" s="36">
        <f t="shared" si="66"/>
        <v>0</v>
      </c>
      <c r="EO12" s="149">
        <f t="shared" si="67"/>
        <v>0</v>
      </c>
      <c r="ES12" s="36">
        <f t="shared" si="129"/>
        <v>6</v>
      </c>
      <c r="ET12" s="138">
        <f t="shared" si="68"/>
        <v>5</v>
      </c>
      <c r="EU12" s="36">
        <f t="shared" si="69"/>
        <v>5</v>
      </c>
      <c r="EV12" s="36">
        <f t="shared" si="70"/>
        <v>5</v>
      </c>
      <c r="EW12" s="36">
        <f t="shared" si="71"/>
        <v>5</v>
      </c>
      <c r="EX12" s="36">
        <f t="shared" si="72"/>
        <v>5</v>
      </c>
      <c r="EY12" s="36">
        <f t="shared" si="73"/>
        <v>5</v>
      </c>
      <c r="EZ12" s="36">
        <f t="shared" si="74"/>
        <v>5</v>
      </c>
      <c r="FA12" s="36">
        <f t="shared" si="75"/>
        <v>5</v>
      </c>
      <c r="FB12" s="36">
        <f t="shared" si="76"/>
        <v>5</v>
      </c>
      <c r="FC12" s="36">
        <f t="shared" si="77"/>
        <v>5</v>
      </c>
      <c r="FD12" s="36">
        <f t="shared" si="78"/>
        <v>5</v>
      </c>
      <c r="FE12" s="36">
        <f t="shared" si="79"/>
        <v>5</v>
      </c>
      <c r="FF12" s="36">
        <f t="shared" si="80"/>
        <v>5</v>
      </c>
      <c r="FG12" s="36">
        <f t="shared" si="81"/>
        <v>5</v>
      </c>
      <c r="FH12" s="36">
        <f t="shared" si="82"/>
        <v>5</v>
      </c>
      <c r="FI12" s="36">
        <f t="shared" si="83"/>
        <v>5</v>
      </c>
      <c r="FJ12" s="36">
        <f t="shared" si="84"/>
        <v>5</v>
      </c>
      <c r="FK12" s="36">
        <f t="shared" si="85"/>
        <v>5</v>
      </c>
      <c r="FL12" s="36">
        <f t="shared" si="86"/>
        <v>5</v>
      </c>
      <c r="FM12" s="36">
        <f t="shared" si="87"/>
        <v>5</v>
      </c>
      <c r="FN12" s="36">
        <f t="shared" si="88"/>
        <v>5</v>
      </c>
      <c r="FO12" s="36">
        <f t="shared" si="89"/>
        <v>5</v>
      </c>
      <c r="FP12" s="36">
        <f t="shared" si="90"/>
        <v>0</v>
      </c>
      <c r="FQ12" s="36">
        <f t="shared" si="91"/>
        <v>0</v>
      </c>
      <c r="FR12" s="36">
        <f t="shared" si="92"/>
        <v>0</v>
      </c>
      <c r="FS12" s="36">
        <f t="shared" si="93"/>
        <v>0</v>
      </c>
      <c r="FT12" s="149">
        <f t="shared" si="94"/>
        <v>0</v>
      </c>
      <c r="FX12" s="36">
        <f t="shared" si="130"/>
        <v>6</v>
      </c>
      <c r="FY12" s="138">
        <f t="shared" si="95"/>
        <v>8</v>
      </c>
      <c r="FZ12" s="36">
        <f t="shared" si="96"/>
        <v>8</v>
      </c>
      <c r="GA12" s="36">
        <f t="shared" si="97"/>
        <v>7</v>
      </c>
      <c r="GB12" s="36">
        <f t="shared" si="98"/>
        <v>7</v>
      </c>
      <c r="GC12" s="36">
        <f t="shared" si="99"/>
        <v>8</v>
      </c>
      <c r="GD12" s="36">
        <f t="shared" si="100"/>
        <v>8</v>
      </c>
      <c r="GE12" s="36">
        <f t="shared" si="101"/>
        <v>7</v>
      </c>
      <c r="GF12" s="36">
        <f t="shared" si="102"/>
        <v>7</v>
      </c>
      <c r="GG12" s="36">
        <f t="shared" si="103"/>
        <v>8</v>
      </c>
      <c r="GH12" s="36">
        <f t="shared" si="104"/>
        <v>8</v>
      </c>
      <c r="GI12" s="36">
        <f t="shared" si="105"/>
        <v>7</v>
      </c>
      <c r="GJ12" s="36">
        <f t="shared" si="106"/>
        <v>7</v>
      </c>
      <c r="GK12" s="36">
        <f t="shared" si="107"/>
        <v>9</v>
      </c>
      <c r="GL12" s="36">
        <f t="shared" si="108"/>
        <v>9</v>
      </c>
      <c r="GM12" s="36">
        <f t="shared" si="109"/>
        <v>7</v>
      </c>
      <c r="GN12" s="36">
        <f t="shared" si="110"/>
        <v>7</v>
      </c>
      <c r="GO12" s="36">
        <f t="shared" si="111"/>
        <v>8</v>
      </c>
      <c r="GP12" s="36">
        <f t="shared" si="112"/>
        <v>8</v>
      </c>
      <c r="GQ12" s="36" t="str">
        <f t="shared" si="113"/>
        <v>VL</v>
      </c>
      <c r="GR12" s="36" t="str">
        <f t="shared" si="114"/>
        <v>VL</v>
      </c>
      <c r="GS12" s="36">
        <f t="shared" si="115"/>
        <v>4</v>
      </c>
      <c r="GT12" s="36">
        <f t="shared" si="116"/>
        <v>4</v>
      </c>
      <c r="GU12" s="36">
        <f t="shared" si="117"/>
        <v>0</v>
      </c>
      <c r="GV12" s="36">
        <f t="shared" si="118"/>
        <v>0</v>
      </c>
      <c r="GW12" s="36">
        <f t="shared" si="119"/>
        <v>0</v>
      </c>
      <c r="GX12" s="36">
        <f t="shared" si="120"/>
        <v>0</v>
      </c>
      <c r="GY12" s="149">
        <f t="shared" si="121"/>
        <v>0</v>
      </c>
      <c r="HD12" s="36">
        <f t="shared" si="131"/>
        <v>6</v>
      </c>
      <c r="HE12" s="36">
        <f t="shared" si="122"/>
        <v>0</v>
      </c>
      <c r="HF12" s="36">
        <f t="shared" si="123"/>
        <v>0</v>
      </c>
      <c r="HG12" s="36">
        <f t="shared" si="124"/>
        <v>0</v>
      </c>
      <c r="HK12" s="152"/>
      <c r="HM12" s="153"/>
      <c r="HQ12" s="159" t="str">
        <f t="shared" si="125"/>
        <v/>
      </c>
      <c r="HR12" s="160" t="str">
        <f t="shared" si="126"/>
        <v/>
      </c>
      <c r="HU12" s="36">
        <v>6</v>
      </c>
      <c r="HV12" s="36">
        <f t="shared" si="132"/>
        <v>6</v>
      </c>
      <c r="HW12" s="139">
        <v>6</v>
      </c>
      <c r="HX12" s="136">
        <v>6</v>
      </c>
      <c r="HY12" s="136">
        <v>4</v>
      </c>
      <c r="HZ12" s="136">
        <v>4</v>
      </c>
      <c r="IA12" s="136">
        <v>6</v>
      </c>
      <c r="IB12" s="136">
        <v>6</v>
      </c>
      <c r="IC12" s="136">
        <v>4</v>
      </c>
      <c r="ID12" s="136">
        <v>4</v>
      </c>
      <c r="IE12" s="136">
        <v>6</v>
      </c>
      <c r="IF12" s="136">
        <v>6</v>
      </c>
      <c r="IG12" s="136">
        <v>4</v>
      </c>
      <c r="IH12" s="136">
        <v>4</v>
      </c>
      <c r="II12" s="136">
        <v>6</v>
      </c>
      <c r="IJ12" s="136">
        <v>6</v>
      </c>
      <c r="IK12" s="136">
        <v>4</v>
      </c>
      <c r="IL12" s="136">
        <v>4</v>
      </c>
      <c r="IM12" s="136">
        <v>6</v>
      </c>
      <c r="IN12" s="136">
        <v>6</v>
      </c>
      <c r="IO12" s="136">
        <v>4</v>
      </c>
      <c r="IP12" s="136">
        <v>4</v>
      </c>
      <c r="IQ12" s="136">
        <v>6</v>
      </c>
      <c r="IR12" s="136">
        <v>6</v>
      </c>
      <c r="IS12" s="136">
        <v>0</v>
      </c>
      <c r="IT12" s="136">
        <v>0</v>
      </c>
      <c r="IU12" s="136">
        <v>0</v>
      </c>
      <c r="IV12" s="136">
        <v>0</v>
      </c>
      <c r="IW12" s="166">
        <v>0</v>
      </c>
      <c r="IY12" s="36">
        <f t="shared" si="127"/>
        <v>0</v>
      </c>
    </row>
    <row r="13" spans="1:259" ht="15.9" customHeight="1" x14ac:dyDescent="0.3">
      <c r="A13" s="104">
        <v>7</v>
      </c>
      <c r="B13" s="94" t="s">
        <v>72</v>
      </c>
      <c r="C13" s="95">
        <v>31</v>
      </c>
      <c r="D13" s="96"/>
      <c r="E13" s="10"/>
      <c r="F13" s="9"/>
      <c r="G13" s="97"/>
      <c r="H13" s="98"/>
      <c r="I13" s="91"/>
      <c r="K13" s="67" t="str">
        <f>[1]List1!$B$122</f>
        <v>B přípravka žáci</v>
      </c>
      <c r="L13" s="36" t="str">
        <f t="shared" si="11"/>
        <v/>
      </c>
      <c r="U13" s="36" t="str">
        <f>IF(L13="x",20,"")</f>
        <v/>
      </c>
      <c r="V13" s="36" t="str">
        <f t="shared" si="12"/>
        <v/>
      </c>
      <c r="W13" s="36">
        <f t="shared" si="133"/>
        <v>0</v>
      </c>
      <c r="Z13" s="1">
        <f t="shared" si="16"/>
        <v>0</v>
      </c>
      <c r="AA13" t="str">
        <f t="shared" si="17"/>
        <v/>
      </c>
      <c r="AB13" s="53" t="str">
        <f>[1]List1!$A$122</f>
        <v>B příp</v>
      </c>
      <c r="AC13" t="str">
        <f t="shared" si="18"/>
        <v/>
      </c>
      <c r="AE13" s="36">
        <f t="shared" si="19"/>
        <v>0</v>
      </c>
      <c r="AF13" s="36">
        <f t="shared" si="20"/>
        <v>7</v>
      </c>
      <c r="AH13" s="36">
        <v>7</v>
      </c>
      <c r="AI13" s="138">
        <f t="shared" si="21"/>
        <v>7</v>
      </c>
      <c r="AJ13" s="36">
        <f>AF14</f>
        <v>8</v>
      </c>
      <c r="AK13" s="149">
        <f>AI11</f>
        <v>5</v>
      </c>
      <c r="AL13" s="36">
        <f t="shared" si="22"/>
        <v>7</v>
      </c>
      <c r="AM13" s="36">
        <f t="shared" si="23"/>
        <v>8</v>
      </c>
      <c r="AN13" s="149">
        <f>AL11</f>
        <v>5</v>
      </c>
      <c r="AO13" s="138">
        <f t="shared" si="24"/>
        <v>7</v>
      </c>
      <c r="AP13" s="36">
        <f>AO14</f>
        <v>8</v>
      </c>
      <c r="AQ13" s="149">
        <f>AO12</f>
        <v>6</v>
      </c>
      <c r="AR13" s="36">
        <f t="shared" si="25"/>
        <v>7</v>
      </c>
      <c r="AS13" s="36">
        <f>AR14</f>
        <v>8</v>
      </c>
      <c r="AT13" s="149">
        <f>AR12</f>
        <v>6</v>
      </c>
      <c r="AU13" s="138">
        <f t="shared" si="26"/>
        <v>7</v>
      </c>
      <c r="AV13" s="36">
        <f>AU14</f>
        <v>8</v>
      </c>
      <c r="AW13" s="149">
        <f>AU11</f>
        <v>5</v>
      </c>
      <c r="AX13" s="138">
        <f t="shared" si="27"/>
        <v>7</v>
      </c>
      <c r="AY13" s="36">
        <f>AX14</f>
        <v>8</v>
      </c>
      <c r="AZ13" s="149">
        <f>AX11</f>
        <v>5</v>
      </c>
      <c r="BA13" s="138">
        <f t="shared" si="28"/>
        <v>7</v>
      </c>
      <c r="BB13" s="36">
        <f>BA14</f>
        <v>8</v>
      </c>
      <c r="BC13" s="149">
        <f>BA12</f>
        <v>6</v>
      </c>
      <c r="BD13" s="36">
        <f t="shared" si="29"/>
        <v>7</v>
      </c>
      <c r="BE13" s="36">
        <f>BD14</f>
        <v>8</v>
      </c>
      <c r="BF13" s="149">
        <f>BD12</f>
        <v>6</v>
      </c>
      <c r="BG13" s="138">
        <f t="shared" si="30"/>
        <v>7</v>
      </c>
      <c r="BH13" s="36">
        <f>BG14</f>
        <v>8</v>
      </c>
      <c r="BI13" s="149">
        <f>BG11</f>
        <v>5</v>
      </c>
      <c r="BJ13" s="138">
        <f t="shared" si="31"/>
        <v>7</v>
      </c>
      <c r="BK13" s="36">
        <f>BJ14</f>
        <v>8</v>
      </c>
      <c r="BL13" s="36">
        <f>BJ11</f>
        <v>5</v>
      </c>
      <c r="BM13" s="138">
        <f t="shared" si="32"/>
        <v>7</v>
      </c>
      <c r="BN13" s="36">
        <f>BM14</f>
        <v>8</v>
      </c>
      <c r="BO13" s="149">
        <f>BM12</f>
        <v>6</v>
      </c>
      <c r="BP13" s="36">
        <f t="shared" si="33"/>
        <v>7</v>
      </c>
      <c r="BQ13" s="36">
        <f>BP14</f>
        <v>8</v>
      </c>
      <c r="BR13" s="149">
        <f>BP12</f>
        <v>6</v>
      </c>
      <c r="BS13" s="138">
        <f t="shared" si="34"/>
        <v>7</v>
      </c>
      <c r="BT13" s="36">
        <f>BS14</f>
        <v>8</v>
      </c>
      <c r="BU13" s="149">
        <v>5</v>
      </c>
      <c r="BV13" s="138">
        <f t="shared" si="35"/>
        <v>7</v>
      </c>
      <c r="BW13" s="36">
        <f>BV14</f>
        <v>8</v>
      </c>
      <c r="BX13" s="149">
        <v>5</v>
      </c>
      <c r="BY13" s="138">
        <f t="shared" si="36"/>
        <v>7</v>
      </c>
      <c r="BZ13" s="36">
        <f>BY14</f>
        <v>8</v>
      </c>
      <c r="CA13" s="149">
        <f>BY12</f>
        <v>6</v>
      </c>
      <c r="CB13" s="36">
        <f t="shared" si="13"/>
        <v>7</v>
      </c>
      <c r="CC13" s="36">
        <f>CB14</f>
        <v>8</v>
      </c>
      <c r="CD13" s="149">
        <f>CB12</f>
        <v>6</v>
      </c>
      <c r="CE13" s="138">
        <f t="shared" si="37"/>
        <v>7</v>
      </c>
      <c r="CF13" s="36">
        <f>CE14</f>
        <v>8</v>
      </c>
      <c r="CG13" s="149">
        <f>CE11</f>
        <v>5</v>
      </c>
      <c r="CH13" s="36">
        <f t="shared" si="38"/>
        <v>7</v>
      </c>
      <c r="CI13" s="36">
        <f>CH14</f>
        <v>8</v>
      </c>
      <c r="CJ13" s="149">
        <f>CH11</f>
        <v>5</v>
      </c>
      <c r="CK13" s="138">
        <f t="shared" si="39"/>
        <v>7</v>
      </c>
      <c r="CL13" s="36" t="str">
        <f>$AE$1</f>
        <v>VL</v>
      </c>
      <c r="CM13" s="149">
        <f>CK7</f>
        <v>1</v>
      </c>
      <c r="CN13" s="138">
        <f t="shared" si="40"/>
        <v>7</v>
      </c>
      <c r="CO13" s="36" t="str">
        <f>$AE$1</f>
        <v>VL</v>
      </c>
      <c r="CP13" s="36">
        <f>CN7</f>
        <v>1</v>
      </c>
      <c r="CQ13" s="138"/>
      <c r="CS13" s="149"/>
      <c r="CW13" s="138"/>
      <c r="CY13" s="149"/>
      <c r="DC13" s="138"/>
      <c r="DE13" s="149"/>
      <c r="DI13" s="138"/>
      <c r="DK13" s="149"/>
      <c r="DN13" s="36">
        <f t="shared" si="128"/>
        <v>7</v>
      </c>
      <c r="DO13" s="138">
        <f t="shared" si="41"/>
        <v>7</v>
      </c>
      <c r="DP13" s="36">
        <f t="shared" si="42"/>
        <v>7</v>
      </c>
      <c r="DQ13" s="36">
        <f t="shared" si="43"/>
        <v>7</v>
      </c>
      <c r="DR13" s="36">
        <f t="shared" si="44"/>
        <v>7</v>
      </c>
      <c r="DS13" s="36">
        <f t="shared" si="45"/>
        <v>7</v>
      </c>
      <c r="DT13" s="36">
        <f t="shared" si="46"/>
        <v>7</v>
      </c>
      <c r="DU13" s="36">
        <f t="shared" si="47"/>
        <v>7</v>
      </c>
      <c r="DV13" s="36">
        <f t="shared" si="48"/>
        <v>7</v>
      </c>
      <c r="DW13" s="36">
        <f t="shared" si="49"/>
        <v>7</v>
      </c>
      <c r="DX13" s="36">
        <f t="shared" si="50"/>
        <v>7</v>
      </c>
      <c r="DY13" s="36">
        <f t="shared" si="51"/>
        <v>7</v>
      </c>
      <c r="DZ13" s="36">
        <f t="shared" si="52"/>
        <v>7</v>
      </c>
      <c r="EA13" s="36">
        <f t="shared" si="53"/>
        <v>7</v>
      </c>
      <c r="EB13" s="36">
        <f t="shared" si="54"/>
        <v>7</v>
      </c>
      <c r="EC13" s="36">
        <f t="shared" si="55"/>
        <v>7</v>
      </c>
      <c r="ED13" s="36">
        <f t="shared" si="56"/>
        <v>7</v>
      </c>
      <c r="EE13" s="36">
        <f t="shared" si="57"/>
        <v>7</v>
      </c>
      <c r="EF13" s="36">
        <f t="shared" si="58"/>
        <v>7</v>
      </c>
      <c r="EG13" s="36">
        <f t="shared" si="59"/>
        <v>7</v>
      </c>
      <c r="EH13" s="36">
        <f t="shared" si="60"/>
        <v>7</v>
      </c>
      <c r="EI13" s="36">
        <f t="shared" si="61"/>
        <v>0</v>
      </c>
      <c r="EJ13" s="36">
        <f t="shared" si="62"/>
        <v>0</v>
      </c>
      <c r="EK13" s="36">
        <f t="shared" si="63"/>
        <v>0</v>
      </c>
      <c r="EL13" s="36">
        <f t="shared" si="64"/>
        <v>0</v>
      </c>
      <c r="EM13" s="36">
        <f t="shared" si="65"/>
        <v>0</v>
      </c>
      <c r="EN13" s="36">
        <f t="shared" si="66"/>
        <v>0</v>
      </c>
      <c r="EO13" s="149">
        <f t="shared" si="67"/>
        <v>0</v>
      </c>
      <c r="ES13" s="36">
        <f t="shared" si="129"/>
        <v>7</v>
      </c>
      <c r="ET13" s="138">
        <f t="shared" si="68"/>
        <v>8</v>
      </c>
      <c r="EU13" s="36">
        <f t="shared" si="69"/>
        <v>8</v>
      </c>
      <c r="EV13" s="36">
        <f t="shared" si="70"/>
        <v>8</v>
      </c>
      <c r="EW13" s="36">
        <f t="shared" si="71"/>
        <v>8</v>
      </c>
      <c r="EX13" s="36">
        <f t="shared" si="72"/>
        <v>8</v>
      </c>
      <c r="EY13" s="36">
        <f t="shared" si="73"/>
        <v>8</v>
      </c>
      <c r="EZ13" s="36">
        <f t="shared" si="74"/>
        <v>8</v>
      </c>
      <c r="FA13" s="36">
        <f t="shared" si="75"/>
        <v>8</v>
      </c>
      <c r="FB13" s="36">
        <f t="shared" si="76"/>
        <v>8</v>
      </c>
      <c r="FC13" s="36">
        <f t="shared" si="77"/>
        <v>8</v>
      </c>
      <c r="FD13" s="36">
        <f t="shared" si="78"/>
        <v>8</v>
      </c>
      <c r="FE13" s="36">
        <f t="shared" si="79"/>
        <v>8</v>
      </c>
      <c r="FF13" s="36">
        <f t="shared" si="80"/>
        <v>8</v>
      </c>
      <c r="FG13" s="36">
        <f t="shared" si="81"/>
        <v>8</v>
      </c>
      <c r="FH13" s="36">
        <f t="shared" si="82"/>
        <v>8</v>
      </c>
      <c r="FI13" s="36">
        <f t="shared" si="83"/>
        <v>8</v>
      </c>
      <c r="FJ13" s="36">
        <f t="shared" si="84"/>
        <v>8</v>
      </c>
      <c r="FK13" s="36">
        <f t="shared" si="85"/>
        <v>8</v>
      </c>
      <c r="FL13" s="36" t="str">
        <f t="shared" si="86"/>
        <v>VL</v>
      </c>
      <c r="FM13" s="36" t="str">
        <f t="shared" si="87"/>
        <v>VL</v>
      </c>
      <c r="FN13" s="36">
        <f t="shared" si="88"/>
        <v>0</v>
      </c>
      <c r="FO13" s="36">
        <f t="shared" si="89"/>
        <v>0</v>
      </c>
      <c r="FP13" s="36">
        <f t="shared" si="90"/>
        <v>0</v>
      </c>
      <c r="FQ13" s="36">
        <f t="shared" si="91"/>
        <v>0</v>
      </c>
      <c r="FR13" s="36">
        <f t="shared" si="92"/>
        <v>0</v>
      </c>
      <c r="FS13" s="36">
        <f t="shared" si="93"/>
        <v>0</v>
      </c>
      <c r="FT13" s="149">
        <f t="shared" si="94"/>
        <v>0</v>
      </c>
      <c r="FX13" s="36">
        <f t="shared" si="130"/>
        <v>7</v>
      </c>
      <c r="FY13" s="138">
        <f t="shared" si="95"/>
        <v>5</v>
      </c>
      <c r="FZ13" s="36">
        <f t="shared" si="96"/>
        <v>5</v>
      </c>
      <c r="GA13" s="36">
        <f t="shared" si="97"/>
        <v>6</v>
      </c>
      <c r="GB13" s="36">
        <f t="shared" si="98"/>
        <v>6</v>
      </c>
      <c r="GC13" s="36">
        <f t="shared" si="99"/>
        <v>5</v>
      </c>
      <c r="GD13" s="36">
        <f t="shared" si="100"/>
        <v>5</v>
      </c>
      <c r="GE13" s="36">
        <f t="shared" si="101"/>
        <v>6</v>
      </c>
      <c r="GF13" s="36">
        <f t="shared" si="102"/>
        <v>6</v>
      </c>
      <c r="GG13" s="36">
        <f t="shared" si="103"/>
        <v>5</v>
      </c>
      <c r="GH13" s="36">
        <f t="shared" si="104"/>
        <v>5</v>
      </c>
      <c r="GI13" s="36">
        <f t="shared" si="105"/>
        <v>6</v>
      </c>
      <c r="GJ13" s="36">
        <f t="shared" si="106"/>
        <v>6</v>
      </c>
      <c r="GK13" s="36">
        <f t="shared" si="107"/>
        <v>5</v>
      </c>
      <c r="GL13" s="36">
        <f t="shared" si="108"/>
        <v>5</v>
      </c>
      <c r="GM13" s="36">
        <f t="shared" si="109"/>
        <v>6</v>
      </c>
      <c r="GN13" s="36">
        <f t="shared" si="110"/>
        <v>6</v>
      </c>
      <c r="GO13" s="36">
        <f t="shared" si="111"/>
        <v>5</v>
      </c>
      <c r="GP13" s="36">
        <f t="shared" si="112"/>
        <v>5</v>
      </c>
      <c r="GQ13" s="36">
        <f t="shared" si="113"/>
        <v>1</v>
      </c>
      <c r="GR13" s="36">
        <f t="shared" si="114"/>
        <v>1</v>
      </c>
      <c r="GS13" s="36">
        <f t="shared" si="115"/>
        <v>0</v>
      </c>
      <c r="GT13" s="36">
        <f t="shared" si="116"/>
        <v>0</v>
      </c>
      <c r="GU13" s="36">
        <f t="shared" si="117"/>
        <v>0</v>
      </c>
      <c r="GV13" s="36">
        <f t="shared" si="118"/>
        <v>0</v>
      </c>
      <c r="GW13" s="36">
        <f t="shared" si="119"/>
        <v>0</v>
      </c>
      <c r="GX13" s="36">
        <f t="shared" si="120"/>
        <v>0</v>
      </c>
      <c r="GY13" s="149">
        <f t="shared" si="121"/>
        <v>0</v>
      </c>
      <c r="HD13" s="36">
        <f t="shared" si="131"/>
        <v>7</v>
      </c>
      <c r="HE13" s="36">
        <f t="shared" si="122"/>
        <v>0</v>
      </c>
      <c r="HF13" s="36">
        <f t="shared" si="123"/>
        <v>0</v>
      </c>
      <c r="HG13" s="36">
        <f t="shared" si="124"/>
        <v>0</v>
      </c>
      <c r="HJ13" s="36">
        <f>HJ11+1</f>
        <v>4</v>
      </c>
      <c r="HK13" s="152" t="str">
        <f>IF(HE10=0,"",HE10)</f>
        <v/>
      </c>
      <c r="HL13" s="36" t="str">
        <f>IF(HF10=0,"",HF10)</f>
        <v/>
      </c>
      <c r="HM13" s="153" t="str">
        <f>IF(HG10=0,"",HG10)</f>
        <v/>
      </c>
      <c r="HQ13" s="159" t="str">
        <f t="shared" si="125"/>
        <v/>
      </c>
      <c r="HR13" s="160" t="str">
        <f t="shared" si="126"/>
        <v/>
      </c>
      <c r="HU13" s="36">
        <v>7</v>
      </c>
      <c r="HV13" s="36">
        <f t="shared" si="132"/>
        <v>7</v>
      </c>
      <c r="HW13" s="139">
        <v>7</v>
      </c>
      <c r="HX13" s="136">
        <v>7</v>
      </c>
      <c r="HY13" s="136">
        <v>5</v>
      </c>
      <c r="HZ13" s="136">
        <v>5</v>
      </c>
      <c r="IA13" s="136">
        <v>7</v>
      </c>
      <c r="IB13" s="136">
        <v>7</v>
      </c>
      <c r="IC13" s="136">
        <v>5</v>
      </c>
      <c r="ID13" s="136">
        <v>5</v>
      </c>
      <c r="IE13" s="136">
        <v>7</v>
      </c>
      <c r="IF13" s="136">
        <v>7</v>
      </c>
      <c r="IG13" s="136">
        <v>5</v>
      </c>
      <c r="IH13" s="136">
        <v>5</v>
      </c>
      <c r="II13" s="136">
        <v>7</v>
      </c>
      <c r="IJ13" s="136">
        <v>7</v>
      </c>
      <c r="IK13" s="136">
        <v>5</v>
      </c>
      <c r="IL13" s="136">
        <v>5</v>
      </c>
      <c r="IM13" s="136">
        <v>7</v>
      </c>
      <c r="IN13" s="136">
        <v>7</v>
      </c>
      <c r="IO13" s="136">
        <v>5</v>
      </c>
      <c r="IP13" s="136">
        <v>5</v>
      </c>
      <c r="IQ13" s="136">
        <v>0</v>
      </c>
      <c r="IR13" s="136">
        <v>0</v>
      </c>
      <c r="IS13" s="136">
        <v>0</v>
      </c>
      <c r="IT13" s="136">
        <v>0</v>
      </c>
      <c r="IU13" s="136">
        <v>0</v>
      </c>
      <c r="IV13" s="136">
        <v>0</v>
      </c>
      <c r="IW13" s="166">
        <v>0</v>
      </c>
      <c r="IY13" s="36">
        <f t="shared" si="127"/>
        <v>0</v>
      </c>
    </row>
    <row r="14" spans="1:259" ht="15.9" customHeight="1" thickBot="1" x14ac:dyDescent="0.35">
      <c r="A14" s="104">
        <v>8</v>
      </c>
      <c r="B14" s="94" t="s">
        <v>72</v>
      </c>
      <c r="C14" s="95">
        <v>31</v>
      </c>
      <c r="D14" s="96"/>
      <c r="E14" s="10"/>
      <c r="F14" s="9"/>
      <c r="G14" s="97"/>
      <c r="H14" s="98"/>
      <c r="I14" s="91"/>
      <c r="K14" s="87" t="str">
        <f>[1]List1!$D$122</f>
        <v>C přípravka žáci</v>
      </c>
      <c r="L14" s="81" t="str">
        <f t="shared" si="11"/>
        <v/>
      </c>
      <c r="U14" s="36" t="str">
        <f>IF(L14="x",20,"")</f>
        <v/>
      </c>
      <c r="V14" s="36" t="str">
        <f t="shared" si="12"/>
        <v/>
      </c>
      <c r="W14" s="36">
        <f t="shared" si="133"/>
        <v>0</v>
      </c>
      <c r="Z14" s="1">
        <f t="shared" si="16"/>
        <v>0</v>
      </c>
      <c r="AA14" t="str">
        <f t="shared" si="17"/>
        <v/>
      </c>
      <c r="AB14" s="53" t="str">
        <f>[1]List1!$E$114</f>
        <v>C příp</v>
      </c>
      <c r="AC14" t="str">
        <f t="shared" si="18"/>
        <v/>
      </c>
      <c r="AE14" s="36">
        <f t="shared" si="19"/>
        <v>0</v>
      </c>
      <c r="AF14" s="36">
        <f t="shared" si="20"/>
        <v>8</v>
      </c>
      <c r="AH14" s="36">
        <v>8</v>
      </c>
      <c r="AI14" s="138">
        <f t="shared" si="21"/>
        <v>8</v>
      </c>
      <c r="AJ14" s="36">
        <f>AF13</f>
        <v>7</v>
      </c>
      <c r="AK14" s="149">
        <f>AI12</f>
        <v>6</v>
      </c>
      <c r="AL14" s="36">
        <f t="shared" si="22"/>
        <v>8</v>
      </c>
      <c r="AM14" s="36">
        <f t="shared" si="23"/>
        <v>7</v>
      </c>
      <c r="AN14" s="149">
        <f>AL12</f>
        <v>6</v>
      </c>
      <c r="AO14" s="138">
        <f t="shared" si="24"/>
        <v>8</v>
      </c>
      <c r="AP14" s="36">
        <f>AO13</f>
        <v>7</v>
      </c>
      <c r="AQ14" s="149">
        <f>AO15</f>
        <v>9</v>
      </c>
      <c r="AR14" s="36">
        <f t="shared" si="25"/>
        <v>8</v>
      </c>
      <c r="AS14" s="36">
        <f>AR13</f>
        <v>7</v>
      </c>
      <c r="AT14" s="149">
        <f>AR15</f>
        <v>9</v>
      </c>
      <c r="AU14" s="138">
        <f t="shared" si="26"/>
        <v>8</v>
      </c>
      <c r="AV14" s="36">
        <f>AU13</f>
        <v>7</v>
      </c>
      <c r="AW14" s="149">
        <f>AU12</f>
        <v>6</v>
      </c>
      <c r="AX14" s="138">
        <f t="shared" si="27"/>
        <v>8</v>
      </c>
      <c r="AY14" s="36">
        <f>AX13</f>
        <v>7</v>
      </c>
      <c r="AZ14" s="149">
        <f>AX12</f>
        <v>6</v>
      </c>
      <c r="BA14" s="138">
        <f t="shared" si="28"/>
        <v>8</v>
      </c>
      <c r="BB14" s="36">
        <f>BA13</f>
        <v>7</v>
      </c>
      <c r="BC14" s="149">
        <f>BA15</f>
        <v>9</v>
      </c>
      <c r="BD14" s="36">
        <f t="shared" si="29"/>
        <v>8</v>
      </c>
      <c r="BE14" s="36">
        <f>BD13</f>
        <v>7</v>
      </c>
      <c r="BF14" s="149">
        <f>BD15</f>
        <v>9</v>
      </c>
      <c r="BG14" s="138">
        <f t="shared" si="30"/>
        <v>8</v>
      </c>
      <c r="BH14" s="36">
        <f>BG13</f>
        <v>7</v>
      </c>
      <c r="BI14" s="149">
        <f>BG12</f>
        <v>6</v>
      </c>
      <c r="BJ14" s="138">
        <f t="shared" si="31"/>
        <v>8</v>
      </c>
      <c r="BK14" s="36">
        <f>BJ13</f>
        <v>7</v>
      </c>
      <c r="BL14" s="36">
        <f>BJ12</f>
        <v>6</v>
      </c>
      <c r="BM14" s="138">
        <f t="shared" si="32"/>
        <v>8</v>
      </c>
      <c r="BN14" s="36">
        <f>BM13</f>
        <v>7</v>
      </c>
      <c r="BO14" s="149">
        <f>BM15</f>
        <v>9</v>
      </c>
      <c r="BP14" s="36">
        <f t="shared" si="33"/>
        <v>8</v>
      </c>
      <c r="BQ14" s="36">
        <f>BP13</f>
        <v>7</v>
      </c>
      <c r="BR14" s="149">
        <f>BP15</f>
        <v>9</v>
      </c>
      <c r="BS14" s="138">
        <f t="shared" si="34"/>
        <v>8</v>
      </c>
      <c r="BT14" s="36">
        <f>BS13</f>
        <v>7</v>
      </c>
      <c r="BU14" s="149">
        <v>10</v>
      </c>
      <c r="BV14" s="138">
        <f t="shared" si="35"/>
        <v>8</v>
      </c>
      <c r="BW14" s="36">
        <f>BV13</f>
        <v>7</v>
      </c>
      <c r="BX14" s="149">
        <v>10</v>
      </c>
      <c r="BY14" s="138">
        <f t="shared" si="36"/>
        <v>8</v>
      </c>
      <c r="BZ14" s="36">
        <f>BY13</f>
        <v>7</v>
      </c>
      <c r="CA14" s="149" t="str">
        <f>BZ15</f>
        <v>VL</v>
      </c>
      <c r="CB14" s="36">
        <f t="shared" si="13"/>
        <v>8</v>
      </c>
      <c r="CC14" s="36">
        <f>CB13</f>
        <v>7</v>
      </c>
      <c r="CD14" s="149" t="str">
        <f>CC15</f>
        <v>VL</v>
      </c>
      <c r="CE14" s="138">
        <f t="shared" si="37"/>
        <v>8</v>
      </c>
      <c r="CF14" s="36">
        <f>CE13</f>
        <v>7</v>
      </c>
      <c r="CG14" s="149">
        <f>CE12</f>
        <v>6</v>
      </c>
      <c r="CH14" s="36">
        <f t="shared" si="38"/>
        <v>8</v>
      </c>
      <c r="CI14" s="36">
        <f>CH13</f>
        <v>7</v>
      </c>
      <c r="CJ14" s="149">
        <f>CH12</f>
        <v>6</v>
      </c>
      <c r="CK14" s="138"/>
      <c r="CM14" s="149"/>
      <c r="CQ14" s="138"/>
      <c r="CS14" s="149"/>
      <c r="CW14" s="138"/>
      <c r="CY14" s="149"/>
      <c r="DC14" s="138"/>
      <c r="DE14" s="149"/>
      <c r="DI14" s="138"/>
      <c r="DK14" s="149"/>
      <c r="DN14" s="36">
        <f t="shared" si="128"/>
        <v>8</v>
      </c>
      <c r="DO14" s="138">
        <f t="shared" si="41"/>
        <v>8</v>
      </c>
      <c r="DP14" s="36">
        <f t="shared" si="42"/>
        <v>8</v>
      </c>
      <c r="DQ14" s="36">
        <f t="shared" si="43"/>
        <v>8</v>
      </c>
      <c r="DR14" s="36">
        <f t="shared" si="44"/>
        <v>8</v>
      </c>
      <c r="DS14" s="36">
        <f t="shared" si="45"/>
        <v>8</v>
      </c>
      <c r="DT14" s="36">
        <f t="shared" si="46"/>
        <v>8</v>
      </c>
      <c r="DU14" s="36">
        <f t="shared" si="47"/>
        <v>8</v>
      </c>
      <c r="DV14" s="36">
        <f t="shared" si="48"/>
        <v>8</v>
      </c>
      <c r="DW14" s="36">
        <f t="shared" si="49"/>
        <v>8</v>
      </c>
      <c r="DX14" s="36">
        <f t="shared" si="50"/>
        <v>8</v>
      </c>
      <c r="DY14" s="36">
        <f t="shared" si="51"/>
        <v>8</v>
      </c>
      <c r="DZ14" s="36">
        <f t="shared" si="52"/>
        <v>8</v>
      </c>
      <c r="EA14" s="36">
        <f t="shared" si="53"/>
        <v>8</v>
      </c>
      <c r="EB14" s="36">
        <f t="shared" si="54"/>
        <v>8</v>
      </c>
      <c r="EC14" s="36">
        <f t="shared" si="55"/>
        <v>8</v>
      </c>
      <c r="ED14" s="36">
        <f t="shared" si="56"/>
        <v>8</v>
      </c>
      <c r="EE14" s="36">
        <f t="shared" si="57"/>
        <v>8</v>
      </c>
      <c r="EF14" s="36">
        <f t="shared" si="58"/>
        <v>8</v>
      </c>
      <c r="EG14" s="36">
        <f t="shared" si="59"/>
        <v>0</v>
      </c>
      <c r="EH14" s="36">
        <f t="shared" si="60"/>
        <v>0</v>
      </c>
      <c r="EI14" s="36">
        <f t="shared" si="61"/>
        <v>0</v>
      </c>
      <c r="EJ14" s="36">
        <f t="shared" si="62"/>
        <v>0</v>
      </c>
      <c r="EK14" s="36">
        <f t="shared" si="63"/>
        <v>0</v>
      </c>
      <c r="EL14" s="36">
        <f t="shared" si="64"/>
        <v>0</v>
      </c>
      <c r="EM14" s="36">
        <f t="shared" si="65"/>
        <v>0</v>
      </c>
      <c r="EN14" s="36">
        <f t="shared" si="66"/>
        <v>0</v>
      </c>
      <c r="EO14" s="149">
        <f t="shared" si="67"/>
        <v>0</v>
      </c>
      <c r="ES14" s="36">
        <f t="shared" si="129"/>
        <v>8</v>
      </c>
      <c r="ET14" s="138">
        <f t="shared" si="68"/>
        <v>7</v>
      </c>
      <c r="EU14" s="36">
        <f t="shared" si="69"/>
        <v>7</v>
      </c>
      <c r="EV14" s="36">
        <f t="shared" si="70"/>
        <v>7</v>
      </c>
      <c r="EW14" s="36">
        <f t="shared" si="71"/>
        <v>7</v>
      </c>
      <c r="EX14" s="36">
        <f t="shared" si="72"/>
        <v>7</v>
      </c>
      <c r="EY14" s="36">
        <f t="shared" si="73"/>
        <v>7</v>
      </c>
      <c r="EZ14" s="36">
        <f t="shared" si="74"/>
        <v>7</v>
      </c>
      <c r="FA14" s="36">
        <f t="shared" si="75"/>
        <v>7</v>
      </c>
      <c r="FB14" s="36">
        <f t="shared" si="76"/>
        <v>7</v>
      </c>
      <c r="FC14" s="36">
        <f t="shared" si="77"/>
        <v>7</v>
      </c>
      <c r="FD14" s="36">
        <f t="shared" si="78"/>
        <v>7</v>
      </c>
      <c r="FE14" s="36">
        <f t="shared" si="79"/>
        <v>7</v>
      </c>
      <c r="FF14" s="36">
        <f t="shared" si="80"/>
        <v>7</v>
      </c>
      <c r="FG14" s="36">
        <f t="shared" si="81"/>
        <v>7</v>
      </c>
      <c r="FH14" s="36">
        <f t="shared" si="82"/>
        <v>7</v>
      </c>
      <c r="FI14" s="36">
        <f t="shared" si="83"/>
        <v>7</v>
      </c>
      <c r="FJ14" s="36">
        <f t="shared" si="84"/>
        <v>7</v>
      </c>
      <c r="FK14" s="36">
        <f t="shared" si="85"/>
        <v>7</v>
      </c>
      <c r="FL14" s="36">
        <f t="shared" si="86"/>
        <v>0</v>
      </c>
      <c r="FM14" s="36">
        <f t="shared" si="87"/>
        <v>0</v>
      </c>
      <c r="FN14" s="36">
        <f t="shared" si="88"/>
        <v>0</v>
      </c>
      <c r="FO14" s="36">
        <f t="shared" si="89"/>
        <v>0</v>
      </c>
      <c r="FP14" s="36">
        <f t="shared" si="90"/>
        <v>0</v>
      </c>
      <c r="FQ14" s="36">
        <f t="shared" si="91"/>
        <v>0</v>
      </c>
      <c r="FR14" s="36">
        <f t="shared" si="92"/>
        <v>0</v>
      </c>
      <c r="FS14" s="36">
        <f t="shared" si="93"/>
        <v>0</v>
      </c>
      <c r="FT14" s="149">
        <f t="shared" si="94"/>
        <v>0</v>
      </c>
      <c r="FX14" s="36">
        <f t="shared" si="130"/>
        <v>8</v>
      </c>
      <c r="FY14" s="138">
        <f t="shared" si="95"/>
        <v>6</v>
      </c>
      <c r="FZ14" s="36">
        <f t="shared" si="96"/>
        <v>6</v>
      </c>
      <c r="GA14" s="36">
        <f t="shared" si="97"/>
        <v>9</v>
      </c>
      <c r="GB14" s="36">
        <f t="shared" si="98"/>
        <v>9</v>
      </c>
      <c r="GC14" s="36">
        <f t="shared" si="99"/>
        <v>6</v>
      </c>
      <c r="GD14" s="36">
        <f t="shared" si="100"/>
        <v>6</v>
      </c>
      <c r="GE14" s="36">
        <f t="shared" si="101"/>
        <v>9</v>
      </c>
      <c r="GF14" s="36">
        <f t="shared" si="102"/>
        <v>9</v>
      </c>
      <c r="GG14" s="36">
        <f t="shared" si="103"/>
        <v>6</v>
      </c>
      <c r="GH14" s="36">
        <f t="shared" si="104"/>
        <v>6</v>
      </c>
      <c r="GI14" s="36">
        <f t="shared" si="105"/>
        <v>9</v>
      </c>
      <c r="GJ14" s="36">
        <f t="shared" si="106"/>
        <v>9</v>
      </c>
      <c r="GK14" s="36">
        <f t="shared" si="107"/>
        <v>10</v>
      </c>
      <c r="GL14" s="36">
        <f t="shared" si="108"/>
        <v>10</v>
      </c>
      <c r="GM14" s="36" t="str">
        <f t="shared" si="109"/>
        <v>VL</v>
      </c>
      <c r="GN14" s="36" t="str">
        <f t="shared" si="110"/>
        <v>VL</v>
      </c>
      <c r="GO14" s="36">
        <f t="shared" si="111"/>
        <v>6</v>
      </c>
      <c r="GP14" s="36">
        <f t="shared" si="112"/>
        <v>6</v>
      </c>
      <c r="GQ14" s="36">
        <f t="shared" si="113"/>
        <v>0</v>
      </c>
      <c r="GR14" s="36">
        <f t="shared" si="114"/>
        <v>0</v>
      </c>
      <c r="GS14" s="36">
        <f t="shared" si="115"/>
        <v>0</v>
      </c>
      <c r="GT14" s="36">
        <f t="shared" si="116"/>
        <v>0</v>
      </c>
      <c r="GU14" s="36">
        <f t="shared" si="117"/>
        <v>0</v>
      </c>
      <c r="GV14" s="36">
        <f t="shared" si="118"/>
        <v>0</v>
      </c>
      <c r="GW14" s="36">
        <f t="shared" si="119"/>
        <v>0</v>
      </c>
      <c r="GX14" s="36">
        <f t="shared" si="120"/>
        <v>0</v>
      </c>
      <c r="GY14" s="149">
        <f t="shared" si="121"/>
        <v>0</v>
      </c>
      <c r="HD14" s="36">
        <f t="shared" si="131"/>
        <v>8</v>
      </c>
      <c r="HE14" s="36">
        <f t="shared" si="122"/>
        <v>0</v>
      </c>
      <c r="HF14" s="36">
        <f t="shared" si="123"/>
        <v>0</v>
      </c>
      <c r="HG14" s="36">
        <f t="shared" si="124"/>
        <v>0</v>
      </c>
      <c r="HK14" s="152"/>
      <c r="HM14" s="153"/>
      <c r="HQ14" s="159" t="str">
        <f t="shared" si="125"/>
        <v/>
      </c>
      <c r="HR14" s="160" t="str">
        <f t="shared" si="126"/>
        <v/>
      </c>
      <c r="HU14" s="36">
        <v>8</v>
      </c>
      <c r="HV14" s="36">
        <f t="shared" si="132"/>
        <v>8</v>
      </c>
      <c r="HW14" s="139">
        <v>8</v>
      </c>
      <c r="HX14" s="136">
        <v>8</v>
      </c>
      <c r="HY14" s="136">
        <v>6</v>
      </c>
      <c r="HZ14" s="136">
        <v>6</v>
      </c>
      <c r="IA14" s="136">
        <v>8</v>
      </c>
      <c r="IB14" s="136">
        <v>8</v>
      </c>
      <c r="IC14" s="136">
        <v>6</v>
      </c>
      <c r="ID14" s="136">
        <v>6</v>
      </c>
      <c r="IE14" s="136">
        <v>8</v>
      </c>
      <c r="IF14" s="136">
        <v>8</v>
      </c>
      <c r="IG14" s="136">
        <v>6</v>
      </c>
      <c r="IH14" s="136">
        <v>6</v>
      </c>
      <c r="II14" s="136">
        <v>8</v>
      </c>
      <c r="IJ14" s="136">
        <v>8</v>
      </c>
      <c r="IK14" s="136">
        <v>6</v>
      </c>
      <c r="IL14" s="136">
        <v>6</v>
      </c>
      <c r="IM14" s="136">
        <v>8</v>
      </c>
      <c r="IN14" s="136">
        <v>8</v>
      </c>
      <c r="IO14" s="136">
        <v>0</v>
      </c>
      <c r="IP14" s="136">
        <v>0</v>
      </c>
      <c r="IQ14" s="136">
        <v>0</v>
      </c>
      <c r="IR14" s="136">
        <v>0</v>
      </c>
      <c r="IS14" s="136">
        <v>0</v>
      </c>
      <c r="IT14" s="136">
        <v>0</v>
      </c>
      <c r="IU14" s="136">
        <v>0</v>
      </c>
      <c r="IV14" s="136">
        <v>0</v>
      </c>
      <c r="IW14" s="166">
        <v>0</v>
      </c>
      <c r="IY14" s="36">
        <f t="shared" si="127"/>
        <v>0</v>
      </c>
    </row>
    <row r="15" spans="1:259" ht="15.9" customHeight="1" thickTop="1" x14ac:dyDescent="0.3">
      <c r="A15" s="104">
        <v>9</v>
      </c>
      <c r="B15" s="99" t="s">
        <v>72</v>
      </c>
      <c r="C15" s="97">
        <v>31</v>
      </c>
      <c r="D15" s="96"/>
      <c r="E15" s="10"/>
      <c r="F15" s="9"/>
      <c r="G15" s="97"/>
      <c r="H15" s="98"/>
      <c r="I15" s="91"/>
      <c r="K15" s="88" t="str">
        <f>[1]List1!$B$121</f>
        <v>seniorky</v>
      </c>
      <c r="L15" s="80" t="str">
        <f t="shared" si="11"/>
        <v/>
      </c>
      <c r="U15" s="36" t="str">
        <f>IF(L15="x",20,"")</f>
        <v/>
      </c>
      <c r="V15" s="36" t="str">
        <f t="shared" si="12"/>
        <v/>
      </c>
      <c r="Z15" s="1">
        <f>IF(L15="x",1,0)</f>
        <v>0</v>
      </c>
      <c r="AA15" s="1">
        <f>IF(L15="x",1,0)</f>
        <v>0</v>
      </c>
      <c r="AB15" s="53" t="str">
        <f>[1]List1!$A$121</f>
        <v>ž-sen</v>
      </c>
      <c r="AC15" t="str">
        <f t="shared" si="18"/>
        <v/>
      </c>
      <c r="AE15" s="36">
        <f t="shared" si="19"/>
        <v>0</v>
      </c>
      <c r="AF15" s="36">
        <f t="shared" si="20"/>
        <v>9</v>
      </c>
      <c r="AH15" s="36">
        <v>9</v>
      </c>
      <c r="AI15" s="138">
        <f t="shared" si="21"/>
        <v>9</v>
      </c>
      <c r="AJ15" s="36">
        <f>AF16</f>
        <v>10</v>
      </c>
      <c r="AK15" s="149">
        <f>AI17</f>
        <v>11</v>
      </c>
      <c r="AL15" s="36">
        <f t="shared" si="22"/>
        <v>9</v>
      </c>
      <c r="AM15" s="36">
        <f t="shared" si="23"/>
        <v>10</v>
      </c>
      <c r="AN15" s="149">
        <f>AL17</f>
        <v>11</v>
      </c>
      <c r="AO15" s="138">
        <f t="shared" si="24"/>
        <v>9</v>
      </c>
      <c r="AP15" s="36">
        <f>AO16</f>
        <v>10</v>
      </c>
      <c r="AQ15" s="149">
        <f>AO14</f>
        <v>8</v>
      </c>
      <c r="AR15" s="36">
        <f t="shared" si="25"/>
        <v>9</v>
      </c>
      <c r="AS15" s="36">
        <f>AR16</f>
        <v>10</v>
      </c>
      <c r="AT15" s="149">
        <f>AR14</f>
        <v>8</v>
      </c>
      <c r="AU15" s="138">
        <f t="shared" si="26"/>
        <v>9</v>
      </c>
      <c r="AV15" s="36">
        <f>AU16</f>
        <v>10</v>
      </c>
      <c r="AW15" s="149">
        <v>11</v>
      </c>
      <c r="AX15" s="138">
        <f t="shared" si="27"/>
        <v>9</v>
      </c>
      <c r="AY15" s="36">
        <f>AX16</f>
        <v>10</v>
      </c>
      <c r="AZ15" s="149">
        <v>11</v>
      </c>
      <c r="BA15" s="138">
        <f t="shared" si="28"/>
        <v>9</v>
      </c>
      <c r="BB15" s="36">
        <f>BA16</f>
        <v>10</v>
      </c>
      <c r="BC15" s="149">
        <f>BA14</f>
        <v>8</v>
      </c>
      <c r="BD15" s="36">
        <f t="shared" si="29"/>
        <v>9</v>
      </c>
      <c r="BE15" s="36">
        <f>BD16</f>
        <v>10</v>
      </c>
      <c r="BF15" s="149">
        <f>BD14</f>
        <v>8</v>
      </c>
      <c r="BG15" s="138">
        <f t="shared" si="30"/>
        <v>9</v>
      </c>
      <c r="BH15" s="36">
        <f>BG16</f>
        <v>10</v>
      </c>
      <c r="BI15" s="149">
        <f>BG17</f>
        <v>11</v>
      </c>
      <c r="BJ15" s="138">
        <f t="shared" si="31"/>
        <v>9</v>
      </c>
      <c r="BK15" s="36">
        <f>BJ16</f>
        <v>10</v>
      </c>
      <c r="BL15" s="149">
        <f>BJ17</f>
        <v>11</v>
      </c>
      <c r="BM15" s="138">
        <f t="shared" si="32"/>
        <v>9</v>
      </c>
      <c r="BN15" s="36">
        <f>BM16</f>
        <v>10</v>
      </c>
      <c r="BO15" s="149">
        <f>BM14</f>
        <v>8</v>
      </c>
      <c r="BP15" s="36">
        <f t="shared" si="33"/>
        <v>9</v>
      </c>
      <c r="BQ15" s="36">
        <f>BP16</f>
        <v>10</v>
      </c>
      <c r="BR15" s="149">
        <f>BP14</f>
        <v>8</v>
      </c>
      <c r="BS15" s="138">
        <f t="shared" si="34"/>
        <v>9</v>
      </c>
      <c r="BT15" s="36">
        <f>BS16</f>
        <v>10</v>
      </c>
      <c r="BU15" s="149">
        <f>BS12</f>
        <v>6</v>
      </c>
      <c r="BV15" s="138">
        <f t="shared" si="35"/>
        <v>9</v>
      </c>
      <c r="BW15" s="36">
        <f>BV16</f>
        <v>10</v>
      </c>
      <c r="BX15" s="149">
        <f>BV12</f>
        <v>6</v>
      </c>
      <c r="BY15" s="138">
        <f t="shared" si="36"/>
        <v>9</v>
      </c>
      <c r="BZ15" s="36" t="str">
        <f>$AE$1</f>
        <v>VL</v>
      </c>
      <c r="CA15" s="149">
        <f>BY7</f>
        <v>1</v>
      </c>
      <c r="CB15" s="36">
        <f t="shared" si="13"/>
        <v>9</v>
      </c>
      <c r="CC15" s="36" t="str">
        <f>$AE$1</f>
        <v>VL</v>
      </c>
      <c r="CD15" s="149">
        <f>CB7</f>
        <v>1</v>
      </c>
      <c r="CE15" s="138"/>
      <c r="CG15" s="149"/>
      <c r="CK15" s="138"/>
      <c r="CM15" s="149"/>
      <c r="CQ15" s="138"/>
      <c r="CS15" s="149"/>
      <c r="CW15" s="138"/>
      <c r="CY15" s="149"/>
      <c r="DC15" s="138"/>
      <c r="DE15" s="149"/>
      <c r="DI15" s="138"/>
      <c r="DK15" s="149"/>
      <c r="DN15" s="36">
        <f t="shared" si="128"/>
        <v>9</v>
      </c>
      <c r="DO15" s="138">
        <f t="shared" si="41"/>
        <v>9</v>
      </c>
      <c r="DP15" s="36">
        <f t="shared" si="42"/>
        <v>9</v>
      </c>
      <c r="DQ15" s="36">
        <f t="shared" si="43"/>
        <v>9</v>
      </c>
      <c r="DR15" s="36">
        <f t="shared" si="44"/>
        <v>9</v>
      </c>
      <c r="DS15" s="36">
        <f t="shared" si="45"/>
        <v>9</v>
      </c>
      <c r="DT15" s="36">
        <f t="shared" si="46"/>
        <v>9</v>
      </c>
      <c r="DU15" s="36">
        <f t="shared" si="47"/>
        <v>9</v>
      </c>
      <c r="DV15" s="36">
        <f t="shared" si="48"/>
        <v>9</v>
      </c>
      <c r="DW15" s="36">
        <f t="shared" si="49"/>
        <v>9</v>
      </c>
      <c r="DX15" s="36">
        <f t="shared" si="50"/>
        <v>9</v>
      </c>
      <c r="DY15" s="36">
        <f t="shared" si="51"/>
        <v>9</v>
      </c>
      <c r="DZ15" s="36">
        <f t="shared" si="52"/>
        <v>9</v>
      </c>
      <c r="EA15" s="36">
        <f t="shared" si="53"/>
        <v>9</v>
      </c>
      <c r="EB15" s="36">
        <f t="shared" si="54"/>
        <v>9</v>
      </c>
      <c r="EC15" s="36">
        <f t="shared" si="55"/>
        <v>9</v>
      </c>
      <c r="ED15" s="36">
        <f t="shared" si="56"/>
        <v>9</v>
      </c>
      <c r="EE15" s="36">
        <f t="shared" si="57"/>
        <v>0</v>
      </c>
      <c r="EF15" s="36">
        <f t="shared" si="58"/>
        <v>0</v>
      </c>
      <c r="EG15" s="36">
        <f t="shared" si="59"/>
        <v>0</v>
      </c>
      <c r="EH15" s="36">
        <f t="shared" si="60"/>
        <v>0</v>
      </c>
      <c r="EI15" s="36">
        <f t="shared" si="61"/>
        <v>0</v>
      </c>
      <c r="EJ15" s="36">
        <f t="shared" si="62"/>
        <v>0</v>
      </c>
      <c r="EK15" s="36">
        <f t="shared" si="63"/>
        <v>0</v>
      </c>
      <c r="EL15" s="36">
        <f t="shared" si="64"/>
        <v>0</v>
      </c>
      <c r="EM15" s="36">
        <f t="shared" si="65"/>
        <v>0</v>
      </c>
      <c r="EN15" s="36">
        <f t="shared" si="66"/>
        <v>0</v>
      </c>
      <c r="EO15" s="149">
        <f t="shared" si="67"/>
        <v>0</v>
      </c>
      <c r="ES15" s="36">
        <f t="shared" si="129"/>
        <v>9</v>
      </c>
      <c r="ET15" s="138">
        <f t="shared" si="68"/>
        <v>10</v>
      </c>
      <c r="EU15" s="36">
        <f t="shared" si="69"/>
        <v>10</v>
      </c>
      <c r="EV15" s="36">
        <f t="shared" si="70"/>
        <v>10</v>
      </c>
      <c r="EW15" s="36">
        <f t="shared" si="71"/>
        <v>10</v>
      </c>
      <c r="EX15" s="36">
        <f t="shared" si="72"/>
        <v>10</v>
      </c>
      <c r="EY15" s="36">
        <f t="shared" si="73"/>
        <v>10</v>
      </c>
      <c r="EZ15" s="36">
        <f t="shared" si="74"/>
        <v>10</v>
      </c>
      <c r="FA15" s="36">
        <f t="shared" si="75"/>
        <v>10</v>
      </c>
      <c r="FB15" s="36">
        <f t="shared" si="76"/>
        <v>10</v>
      </c>
      <c r="FC15" s="36">
        <f t="shared" si="77"/>
        <v>10</v>
      </c>
      <c r="FD15" s="36">
        <f t="shared" si="78"/>
        <v>10</v>
      </c>
      <c r="FE15" s="36">
        <f t="shared" si="79"/>
        <v>10</v>
      </c>
      <c r="FF15" s="36">
        <f t="shared" si="80"/>
        <v>10</v>
      </c>
      <c r="FG15" s="36">
        <f t="shared" si="81"/>
        <v>10</v>
      </c>
      <c r="FH15" s="36" t="str">
        <f t="shared" si="82"/>
        <v>VL</v>
      </c>
      <c r="FI15" s="36" t="str">
        <f t="shared" si="83"/>
        <v>VL</v>
      </c>
      <c r="FJ15" s="36">
        <f t="shared" si="84"/>
        <v>0</v>
      </c>
      <c r="FK15" s="36">
        <f t="shared" si="85"/>
        <v>0</v>
      </c>
      <c r="FL15" s="36">
        <f t="shared" si="86"/>
        <v>0</v>
      </c>
      <c r="FM15" s="36">
        <f t="shared" si="87"/>
        <v>0</v>
      </c>
      <c r="FN15" s="36">
        <f t="shared" si="88"/>
        <v>0</v>
      </c>
      <c r="FO15" s="36">
        <f t="shared" si="89"/>
        <v>0</v>
      </c>
      <c r="FP15" s="36">
        <f t="shared" si="90"/>
        <v>0</v>
      </c>
      <c r="FQ15" s="36">
        <f t="shared" si="91"/>
        <v>0</v>
      </c>
      <c r="FR15" s="36">
        <f t="shared" si="92"/>
        <v>0</v>
      </c>
      <c r="FS15" s="36">
        <f t="shared" si="93"/>
        <v>0</v>
      </c>
      <c r="FT15" s="149">
        <f t="shared" si="94"/>
        <v>0</v>
      </c>
      <c r="FX15" s="36">
        <f t="shared" si="130"/>
        <v>9</v>
      </c>
      <c r="FY15" s="138">
        <f t="shared" si="95"/>
        <v>11</v>
      </c>
      <c r="FZ15" s="36">
        <f t="shared" si="96"/>
        <v>11</v>
      </c>
      <c r="GA15" s="36">
        <f t="shared" si="97"/>
        <v>8</v>
      </c>
      <c r="GB15" s="36">
        <f t="shared" si="98"/>
        <v>8</v>
      </c>
      <c r="GC15" s="36">
        <f t="shared" si="99"/>
        <v>11</v>
      </c>
      <c r="GD15" s="36">
        <f t="shared" si="100"/>
        <v>11</v>
      </c>
      <c r="GE15" s="36">
        <f t="shared" si="101"/>
        <v>8</v>
      </c>
      <c r="GF15" s="36">
        <f t="shared" si="102"/>
        <v>8</v>
      </c>
      <c r="GG15" s="36">
        <f t="shared" si="103"/>
        <v>11</v>
      </c>
      <c r="GH15" s="36">
        <f t="shared" si="104"/>
        <v>11</v>
      </c>
      <c r="GI15" s="36">
        <f t="shared" si="105"/>
        <v>8</v>
      </c>
      <c r="GJ15" s="36">
        <f t="shared" si="106"/>
        <v>8</v>
      </c>
      <c r="GK15" s="36">
        <f t="shared" si="107"/>
        <v>6</v>
      </c>
      <c r="GL15" s="36">
        <f t="shared" si="108"/>
        <v>6</v>
      </c>
      <c r="GM15" s="36">
        <f t="shared" si="109"/>
        <v>1</v>
      </c>
      <c r="GN15" s="36">
        <f t="shared" si="110"/>
        <v>1</v>
      </c>
      <c r="GO15" s="36">
        <f t="shared" si="111"/>
        <v>0</v>
      </c>
      <c r="GP15" s="36">
        <f t="shared" si="112"/>
        <v>0</v>
      </c>
      <c r="GQ15" s="36">
        <f t="shared" si="113"/>
        <v>0</v>
      </c>
      <c r="GR15" s="36">
        <f t="shared" si="114"/>
        <v>0</v>
      </c>
      <c r="GS15" s="36">
        <f t="shared" si="115"/>
        <v>0</v>
      </c>
      <c r="GT15" s="36">
        <f t="shared" si="116"/>
        <v>0</v>
      </c>
      <c r="GU15" s="36">
        <f t="shared" si="117"/>
        <v>0</v>
      </c>
      <c r="GV15" s="36">
        <f t="shared" si="118"/>
        <v>0</v>
      </c>
      <c r="GW15" s="36">
        <f t="shared" si="119"/>
        <v>0</v>
      </c>
      <c r="GX15" s="36">
        <f t="shared" si="120"/>
        <v>0</v>
      </c>
      <c r="GY15" s="149">
        <f t="shared" si="121"/>
        <v>0</v>
      </c>
      <c r="HD15" s="36">
        <f t="shared" si="131"/>
        <v>9</v>
      </c>
      <c r="HE15" s="36">
        <f t="shared" si="122"/>
        <v>0</v>
      </c>
      <c r="HF15" s="36">
        <f t="shared" si="123"/>
        <v>0</v>
      </c>
      <c r="HG15" s="36">
        <f t="shared" si="124"/>
        <v>0</v>
      </c>
      <c r="HJ15" s="36">
        <f>HJ13+1</f>
        <v>5</v>
      </c>
      <c r="HK15" s="152" t="str">
        <f>IF(HE11=0,"",HE11)</f>
        <v/>
      </c>
      <c r="HL15" s="36" t="str">
        <f>IF(HF11=0,"",HF11)</f>
        <v/>
      </c>
      <c r="HM15" s="153" t="str">
        <f>IF(HG11=0,"",HG11)</f>
        <v/>
      </c>
      <c r="HQ15" s="159" t="str">
        <f t="shared" si="125"/>
        <v/>
      </c>
      <c r="HR15" s="160" t="str">
        <f t="shared" si="126"/>
        <v/>
      </c>
      <c r="HU15" s="36">
        <v>9</v>
      </c>
      <c r="HV15" s="36">
        <f t="shared" si="132"/>
        <v>9</v>
      </c>
      <c r="HW15" s="139">
        <v>9</v>
      </c>
      <c r="HX15" s="136">
        <v>9</v>
      </c>
      <c r="HY15" s="136">
        <v>7</v>
      </c>
      <c r="HZ15" s="136">
        <v>7</v>
      </c>
      <c r="IA15" s="136">
        <v>9</v>
      </c>
      <c r="IB15" s="136">
        <v>9</v>
      </c>
      <c r="IC15" s="136">
        <v>7</v>
      </c>
      <c r="ID15" s="136">
        <v>7</v>
      </c>
      <c r="IE15" s="136">
        <v>9</v>
      </c>
      <c r="IF15" s="136">
        <v>9</v>
      </c>
      <c r="IG15" s="136">
        <v>7</v>
      </c>
      <c r="IH15" s="136">
        <v>7</v>
      </c>
      <c r="II15" s="136">
        <v>9</v>
      </c>
      <c r="IJ15" s="136">
        <v>9</v>
      </c>
      <c r="IK15" s="136">
        <v>7</v>
      </c>
      <c r="IL15" s="136">
        <v>7</v>
      </c>
      <c r="IM15" s="136">
        <v>0</v>
      </c>
      <c r="IN15" s="136">
        <v>0</v>
      </c>
      <c r="IO15" s="136">
        <v>0</v>
      </c>
      <c r="IP15" s="136">
        <v>0</v>
      </c>
      <c r="IQ15" s="136">
        <v>0</v>
      </c>
      <c r="IR15" s="136">
        <v>0</v>
      </c>
      <c r="IS15" s="136">
        <v>0</v>
      </c>
      <c r="IT15" s="136">
        <v>0</v>
      </c>
      <c r="IU15" s="136">
        <v>0</v>
      </c>
      <c r="IV15" s="136">
        <v>0</v>
      </c>
      <c r="IW15" s="166">
        <v>0</v>
      </c>
      <c r="IY15" s="36">
        <f t="shared" si="127"/>
        <v>0</v>
      </c>
    </row>
    <row r="16" spans="1:259" ht="15.9" customHeight="1" x14ac:dyDescent="0.3">
      <c r="A16" s="104">
        <v>10</v>
      </c>
      <c r="B16" s="99" t="s">
        <v>72</v>
      </c>
      <c r="C16" s="97">
        <v>31</v>
      </c>
      <c r="D16" s="96"/>
      <c r="E16" s="10"/>
      <c r="F16" s="9"/>
      <c r="G16" s="97"/>
      <c r="H16" s="98"/>
      <c r="I16" s="91"/>
      <c r="K16" s="67" t="str">
        <f>[1]List1!$B$120</f>
        <v>juniorky</v>
      </c>
      <c r="L16" s="36" t="str">
        <f t="shared" si="11"/>
        <v/>
      </c>
      <c r="U16" s="36" t="str">
        <f t="shared" ref="U16:U21" si="134">IF(L16="x",20,"")</f>
        <v/>
      </c>
      <c r="V16" s="36" t="str">
        <f t="shared" si="12"/>
        <v/>
      </c>
      <c r="Z16" s="1">
        <f t="shared" ref="Z16:Z22" si="135">IF(L16="x",1,0)</f>
        <v>0</v>
      </c>
      <c r="AA16" s="1">
        <f t="shared" ref="AA16:AA22" si="136">IF(L16="x",1,0)</f>
        <v>0</v>
      </c>
      <c r="AB16" s="53" t="str">
        <f>[1]List1!$A$120</f>
        <v>ž-jun</v>
      </c>
      <c r="AC16" t="str">
        <f t="shared" si="18"/>
        <v/>
      </c>
      <c r="AE16" s="36">
        <f t="shared" si="19"/>
        <v>0</v>
      </c>
      <c r="AF16" s="36">
        <f t="shared" si="20"/>
        <v>10</v>
      </c>
      <c r="AH16" s="36">
        <v>10</v>
      </c>
      <c r="AI16" s="138">
        <f t="shared" si="21"/>
        <v>10</v>
      </c>
      <c r="AJ16" s="36">
        <f>AF15</f>
        <v>9</v>
      </c>
      <c r="AK16" s="149">
        <f>AI18</f>
        <v>12</v>
      </c>
      <c r="AL16" s="36">
        <f t="shared" si="22"/>
        <v>10</v>
      </c>
      <c r="AM16" s="36">
        <f t="shared" si="23"/>
        <v>9</v>
      </c>
      <c r="AN16" s="149">
        <f>AL18</f>
        <v>12</v>
      </c>
      <c r="AO16" s="138">
        <f t="shared" si="24"/>
        <v>10</v>
      </c>
      <c r="AP16" s="36">
        <f>AO15</f>
        <v>9</v>
      </c>
      <c r="AQ16" s="149">
        <f>AO17</f>
        <v>11</v>
      </c>
      <c r="AR16" s="36">
        <f t="shared" si="25"/>
        <v>10</v>
      </c>
      <c r="AS16" s="36">
        <f>AR15</f>
        <v>9</v>
      </c>
      <c r="AT16" s="149">
        <f>AR17</f>
        <v>11</v>
      </c>
      <c r="AU16" s="138">
        <f t="shared" si="26"/>
        <v>10</v>
      </c>
      <c r="AV16" s="36">
        <f>AU15</f>
        <v>9</v>
      </c>
      <c r="AW16" s="149">
        <v>13</v>
      </c>
      <c r="AX16" s="138">
        <f t="shared" si="27"/>
        <v>10</v>
      </c>
      <c r="AY16" s="36">
        <f>AX15</f>
        <v>9</v>
      </c>
      <c r="AZ16" s="149">
        <v>13</v>
      </c>
      <c r="BA16" s="138">
        <f t="shared" si="28"/>
        <v>10</v>
      </c>
      <c r="BB16" s="36">
        <f>BA15</f>
        <v>9</v>
      </c>
      <c r="BC16" s="149">
        <f>BA17</f>
        <v>11</v>
      </c>
      <c r="BD16" s="36">
        <f t="shared" si="29"/>
        <v>10</v>
      </c>
      <c r="BE16" s="36">
        <f>BD15</f>
        <v>9</v>
      </c>
      <c r="BF16" s="149">
        <f>BD17</f>
        <v>11</v>
      </c>
      <c r="BG16" s="138">
        <f t="shared" si="30"/>
        <v>10</v>
      </c>
      <c r="BH16" s="36">
        <f>BG15</f>
        <v>9</v>
      </c>
      <c r="BI16" s="149">
        <f>BG18</f>
        <v>12</v>
      </c>
      <c r="BJ16" s="138">
        <f t="shared" si="31"/>
        <v>10</v>
      </c>
      <c r="BK16" s="36">
        <f>BJ15</f>
        <v>9</v>
      </c>
      <c r="BL16" s="36">
        <f>BJ18</f>
        <v>12</v>
      </c>
      <c r="BM16" s="138">
        <f t="shared" si="32"/>
        <v>10</v>
      </c>
      <c r="BN16" s="36">
        <f>BM15</f>
        <v>9</v>
      </c>
      <c r="BO16" s="149" t="str">
        <f>BN17</f>
        <v>VL</v>
      </c>
      <c r="BP16" s="36">
        <f t="shared" si="33"/>
        <v>10</v>
      </c>
      <c r="BQ16" s="36">
        <f>BP15</f>
        <v>9</v>
      </c>
      <c r="BR16" s="149" t="str">
        <f>BQ17</f>
        <v>VL</v>
      </c>
      <c r="BS16" s="138">
        <f t="shared" si="34"/>
        <v>10</v>
      </c>
      <c r="BT16" s="36">
        <f>BS15</f>
        <v>9</v>
      </c>
      <c r="BU16" s="149">
        <v>8</v>
      </c>
      <c r="BV16" s="138">
        <f t="shared" si="35"/>
        <v>10</v>
      </c>
      <c r="BW16" s="36">
        <f>BV15</f>
        <v>9</v>
      </c>
      <c r="BX16" s="149">
        <v>8</v>
      </c>
      <c r="BY16" s="138"/>
      <c r="CA16" s="149"/>
      <c r="CE16" s="138"/>
      <c r="CG16" s="149"/>
      <c r="CK16" s="138"/>
      <c r="CM16" s="149"/>
      <c r="CQ16" s="138"/>
      <c r="CS16" s="149"/>
      <c r="CW16" s="138"/>
      <c r="CY16" s="149"/>
      <c r="DC16" s="138"/>
      <c r="DE16" s="149"/>
      <c r="DI16" s="138"/>
      <c r="DK16" s="149"/>
      <c r="DN16" s="36">
        <f t="shared" si="128"/>
        <v>10</v>
      </c>
      <c r="DO16" s="138">
        <f t="shared" si="41"/>
        <v>10</v>
      </c>
      <c r="DP16" s="36">
        <f t="shared" si="42"/>
        <v>10</v>
      </c>
      <c r="DQ16" s="36">
        <f t="shared" si="43"/>
        <v>10</v>
      </c>
      <c r="DR16" s="36">
        <f t="shared" si="44"/>
        <v>10</v>
      </c>
      <c r="DS16" s="36">
        <f t="shared" si="45"/>
        <v>10</v>
      </c>
      <c r="DT16" s="36">
        <f t="shared" si="46"/>
        <v>10</v>
      </c>
      <c r="DU16" s="36">
        <f t="shared" si="47"/>
        <v>10</v>
      </c>
      <c r="DV16" s="36">
        <f t="shared" si="48"/>
        <v>10</v>
      </c>
      <c r="DW16" s="36">
        <f t="shared" si="49"/>
        <v>10</v>
      </c>
      <c r="DX16" s="36">
        <f t="shared" si="50"/>
        <v>10</v>
      </c>
      <c r="DY16" s="36">
        <f t="shared" si="51"/>
        <v>10</v>
      </c>
      <c r="DZ16" s="36">
        <f t="shared" si="52"/>
        <v>10</v>
      </c>
      <c r="EA16" s="36">
        <f t="shared" si="53"/>
        <v>10</v>
      </c>
      <c r="EB16" s="36">
        <f t="shared" si="54"/>
        <v>10</v>
      </c>
      <c r="EC16" s="36">
        <f t="shared" si="55"/>
        <v>0</v>
      </c>
      <c r="ED16" s="36">
        <f t="shared" si="56"/>
        <v>0</v>
      </c>
      <c r="EE16" s="36">
        <f t="shared" si="57"/>
        <v>0</v>
      </c>
      <c r="EF16" s="36">
        <f t="shared" si="58"/>
        <v>0</v>
      </c>
      <c r="EG16" s="36">
        <f t="shared" si="59"/>
        <v>0</v>
      </c>
      <c r="EH16" s="36">
        <f t="shared" si="60"/>
        <v>0</v>
      </c>
      <c r="EI16" s="36">
        <f t="shared" si="61"/>
        <v>0</v>
      </c>
      <c r="EJ16" s="36">
        <f t="shared" si="62"/>
        <v>0</v>
      </c>
      <c r="EK16" s="36">
        <f t="shared" si="63"/>
        <v>0</v>
      </c>
      <c r="EL16" s="36">
        <f t="shared" si="64"/>
        <v>0</v>
      </c>
      <c r="EM16" s="36">
        <f t="shared" si="65"/>
        <v>0</v>
      </c>
      <c r="EN16" s="36">
        <f t="shared" si="66"/>
        <v>0</v>
      </c>
      <c r="EO16" s="149">
        <f t="shared" si="67"/>
        <v>0</v>
      </c>
      <c r="ES16" s="36">
        <f t="shared" si="129"/>
        <v>10</v>
      </c>
      <c r="ET16" s="138">
        <f t="shared" si="68"/>
        <v>9</v>
      </c>
      <c r="EU16" s="36">
        <f t="shared" si="69"/>
        <v>9</v>
      </c>
      <c r="EV16" s="36">
        <f t="shared" si="70"/>
        <v>9</v>
      </c>
      <c r="EW16" s="36">
        <f t="shared" si="71"/>
        <v>9</v>
      </c>
      <c r="EX16" s="36">
        <f t="shared" si="72"/>
        <v>9</v>
      </c>
      <c r="EY16" s="36">
        <f t="shared" si="73"/>
        <v>9</v>
      </c>
      <c r="EZ16" s="36">
        <f t="shared" si="74"/>
        <v>9</v>
      </c>
      <c r="FA16" s="36">
        <f t="shared" si="75"/>
        <v>9</v>
      </c>
      <c r="FB16" s="36">
        <f t="shared" si="76"/>
        <v>9</v>
      </c>
      <c r="FC16" s="36">
        <f t="shared" si="77"/>
        <v>9</v>
      </c>
      <c r="FD16" s="36">
        <f t="shared" si="78"/>
        <v>9</v>
      </c>
      <c r="FE16" s="36">
        <f t="shared" si="79"/>
        <v>9</v>
      </c>
      <c r="FF16" s="36">
        <f t="shared" si="80"/>
        <v>9</v>
      </c>
      <c r="FG16" s="36">
        <f t="shared" si="81"/>
        <v>9</v>
      </c>
      <c r="FH16" s="36">
        <f t="shared" si="82"/>
        <v>0</v>
      </c>
      <c r="FI16" s="36">
        <f t="shared" si="83"/>
        <v>0</v>
      </c>
      <c r="FJ16" s="36">
        <f t="shared" si="84"/>
        <v>0</v>
      </c>
      <c r="FK16" s="36">
        <f t="shared" si="85"/>
        <v>0</v>
      </c>
      <c r="FL16" s="36">
        <f t="shared" si="86"/>
        <v>0</v>
      </c>
      <c r="FM16" s="36">
        <f t="shared" si="87"/>
        <v>0</v>
      </c>
      <c r="FN16" s="36">
        <f t="shared" si="88"/>
        <v>0</v>
      </c>
      <c r="FO16" s="36">
        <f t="shared" si="89"/>
        <v>0</v>
      </c>
      <c r="FP16" s="36">
        <f t="shared" si="90"/>
        <v>0</v>
      </c>
      <c r="FQ16" s="36">
        <f t="shared" si="91"/>
        <v>0</v>
      </c>
      <c r="FR16" s="36">
        <f t="shared" si="92"/>
        <v>0</v>
      </c>
      <c r="FS16" s="36">
        <f t="shared" si="93"/>
        <v>0</v>
      </c>
      <c r="FT16" s="149">
        <f t="shared" si="94"/>
        <v>0</v>
      </c>
      <c r="FX16" s="36">
        <f t="shared" si="130"/>
        <v>10</v>
      </c>
      <c r="FY16" s="138">
        <f t="shared" si="95"/>
        <v>12</v>
      </c>
      <c r="FZ16" s="36">
        <f t="shared" si="96"/>
        <v>12</v>
      </c>
      <c r="GA16" s="36">
        <f t="shared" si="97"/>
        <v>11</v>
      </c>
      <c r="GB16" s="36">
        <f t="shared" si="98"/>
        <v>11</v>
      </c>
      <c r="GC16" s="36">
        <f t="shared" si="99"/>
        <v>13</v>
      </c>
      <c r="GD16" s="36">
        <f t="shared" si="100"/>
        <v>13</v>
      </c>
      <c r="GE16" s="36">
        <f t="shared" si="101"/>
        <v>11</v>
      </c>
      <c r="GF16" s="36">
        <f t="shared" si="102"/>
        <v>11</v>
      </c>
      <c r="GG16" s="36">
        <f t="shared" si="103"/>
        <v>12</v>
      </c>
      <c r="GH16" s="36">
        <f t="shared" si="104"/>
        <v>12</v>
      </c>
      <c r="GI16" s="36" t="str">
        <f t="shared" si="105"/>
        <v>VL</v>
      </c>
      <c r="GJ16" s="36" t="str">
        <f t="shared" si="106"/>
        <v>VL</v>
      </c>
      <c r="GK16" s="36">
        <f t="shared" si="107"/>
        <v>8</v>
      </c>
      <c r="GL16" s="36">
        <f t="shared" si="108"/>
        <v>8</v>
      </c>
      <c r="GM16" s="36">
        <f t="shared" si="109"/>
        <v>0</v>
      </c>
      <c r="GN16" s="36">
        <f t="shared" si="110"/>
        <v>0</v>
      </c>
      <c r="GO16" s="36">
        <f t="shared" si="111"/>
        <v>0</v>
      </c>
      <c r="GP16" s="36">
        <f t="shared" si="112"/>
        <v>0</v>
      </c>
      <c r="GQ16" s="36">
        <f t="shared" si="113"/>
        <v>0</v>
      </c>
      <c r="GR16" s="36">
        <f t="shared" si="114"/>
        <v>0</v>
      </c>
      <c r="GS16" s="36">
        <f t="shared" si="115"/>
        <v>0</v>
      </c>
      <c r="GT16" s="36">
        <f t="shared" si="116"/>
        <v>0</v>
      </c>
      <c r="GU16" s="36">
        <f t="shared" si="117"/>
        <v>0</v>
      </c>
      <c r="GV16" s="36">
        <f t="shared" si="118"/>
        <v>0</v>
      </c>
      <c r="GW16" s="36">
        <f t="shared" si="119"/>
        <v>0</v>
      </c>
      <c r="GX16" s="36">
        <f t="shared" si="120"/>
        <v>0</v>
      </c>
      <c r="GY16" s="149">
        <f t="shared" si="121"/>
        <v>0</v>
      </c>
      <c r="HD16" s="36">
        <f t="shared" si="131"/>
        <v>10</v>
      </c>
      <c r="HE16" s="36">
        <f t="shared" si="122"/>
        <v>0</v>
      </c>
      <c r="HF16" s="36">
        <f t="shared" si="123"/>
        <v>0</v>
      </c>
      <c r="HG16" s="36">
        <f t="shared" si="124"/>
        <v>0</v>
      </c>
      <c r="HK16" s="152"/>
      <c r="HM16" s="153"/>
      <c r="HQ16" s="159" t="str">
        <f t="shared" si="125"/>
        <v/>
      </c>
      <c r="HR16" s="160" t="str">
        <f t="shared" si="126"/>
        <v/>
      </c>
      <c r="HU16" s="36">
        <v>10</v>
      </c>
      <c r="HV16" s="36">
        <f t="shared" si="132"/>
        <v>10</v>
      </c>
      <c r="HW16" s="139">
        <v>10</v>
      </c>
      <c r="HX16" s="136">
        <v>10</v>
      </c>
      <c r="HY16" s="136">
        <v>8</v>
      </c>
      <c r="HZ16" s="136">
        <v>8</v>
      </c>
      <c r="IA16" s="136">
        <v>10</v>
      </c>
      <c r="IB16" s="136">
        <v>10</v>
      </c>
      <c r="IC16" s="136">
        <v>8</v>
      </c>
      <c r="ID16" s="136">
        <v>8</v>
      </c>
      <c r="IE16" s="136">
        <v>10</v>
      </c>
      <c r="IF16" s="136">
        <v>10</v>
      </c>
      <c r="IG16" s="136">
        <v>8</v>
      </c>
      <c r="IH16" s="136">
        <v>8</v>
      </c>
      <c r="II16" s="136">
        <v>10</v>
      </c>
      <c r="IJ16" s="136">
        <v>10</v>
      </c>
      <c r="IK16" s="136">
        <v>0</v>
      </c>
      <c r="IL16" s="136">
        <v>0</v>
      </c>
      <c r="IM16" s="136">
        <v>0</v>
      </c>
      <c r="IN16" s="136">
        <v>0</v>
      </c>
      <c r="IO16" s="136">
        <v>0</v>
      </c>
      <c r="IP16" s="136">
        <v>0</v>
      </c>
      <c r="IQ16" s="136">
        <v>0</v>
      </c>
      <c r="IR16" s="136">
        <v>0</v>
      </c>
      <c r="IS16" s="136">
        <v>0</v>
      </c>
      <c r="IT16" s="136">
        <v>0</v>
      </c>
      <c r="IU16" s="136">
        <v>0</v>
      </c>
      <c r="IV16" s="136">
        <v>0</v>
      </c>
      <c r="IW16" s="166">
        <v>0</v>
      </c>
      <c r="IY16" s="36">
        <f t="shared" si="127"/>
        <v>0</v>
      </c>
    </row>
    <row r="17" spans="1:267" ht="15.9" customHeight="1" x14ac:dyDescent="0.3">
      <c r="A17" s="104">
        <v>11</v>
      </c>
      <c r="B17" s="94"/>
      <c r="C17" s="95"/>
      <c r="D17" s="96"/>
      <c r="E17" s="10"/>
      <c r="F17" s="9"/>
      <c r="G17" s="97"/>
      <c r="H17" s="98"/>
      <c r="I17" s="91"/>
      <c r="K17" s="67" t="str">
        <f>[1]List1!$B$119</f>
        <v>kadetky</v>
      </c>
      <c r="L17" s="36" t="str">
        <f t="shared" si="11"/>
        <v/>
      </c>
      <c r="U17" s="36" t="str">
        <f t="shared" si="134"/>
        <v/>
      </c>
      <c r="V17" s="36" t="str">
        <f t="shared" si="12"/>
        <v/>
      </c>
      <c r="Z17" s="1">
        <f t="shared" si="135"/>
        <v>0</v>
      </c>
      <c r="AA17" s="1">
        <f t="shared" si="136"/>
        <v>0</v>
      </c>
      <c r="AB17" s="53" t="str">
        <f>[1]List1!$A$119</f>
        <v>ž-kad</v>
      </c>
      <c r="AC17" t="str">
        <f t="shared" si="18"/>
        <v/>
      </c>
      <c r="AE17" s="36">
        <f t="shared" si="19"/>
        <v>0</v>
      </c>
      <c r="AF17" s="36">
        <f t="shared" si="20"/>
        <v>11</v>
      </c>
      <c r="AH17" s="36">
        <v>11</v>
      </c>
      <c r="AI17" s="138">
        <f t="shared" si="21"/>
        <v>11</v>
      </c>
      <c r="AJ17" s="36">
        <f>AF18</f>
        <v>12</v>
      </c>
      <c r="AK17" s="149">
        <f>AI15</f>
        <v>9</v>
      </c>
      <c r="AL17" s="36">
        <f t="shared" si="22"/>
        <v>11</v>
      </c>
      <c r="AM17" s="36">
        <f t="shared" si="23"/>
        <v>12</v>
      </c>
      <c r="AN17" s="149">
        <f>AL15</f>
        <v>9</v>
      </c>
      <c r="AO17" s="138">
        <f t="shared" si="24"/>
        <v>11</v>
      </c>
      <c r="AP17" s="36">
        <f>AO18</f>
        <v>12</v>
      </c>
      <c r="AQ17" s="149">
        <f>AO16</f>
        <v>10</v>
      </c>
      <c r="AR17" s="36">
        <f t="shared" si="25"/>
        <v>11</v>
      </c>
      <c r="AS17" s="36">
        <f>AR18</f>
        <v>12</v>
      </c>
      <c r="AT17" s="149">
        <f>AR16</f>
        <v>10</v>
      </c>
      <c r="AU17" s="138">
        <f t="shared" si="26"/>
        <v>11</v>
      </c>
      <c r="AV17" s="36">
        <f>AU18</f>
        <v>12</v>
      </c>
      <c r="AW17" s="149">
        <v>9</v>
      </c>
      <c r="AX17" s="138">
        <f t="shared" si="27"/>
        <v>11</v>
      </c>
      <c r="AY17" s="36">
        <f>AX18</f>
        <v>12</v>
      </c>
      <c r="AZ17" s="149">
        <v>9</v>
      </c>
      <c r="BA17" s="138">
        <f t="shared" si="28"/>
        <v>11</v>
      </c>
      <c r="BB17" s="36">
        <f>BA18</f>
        <v>12</v>
      </c>
      <c r="BC17" s="149">
        <f>BA16</f>
        <v>10</v>
      </c>
      <c r="BD17" s="36">
        <f t="shared" si="29"/>
        <v>11</v>
      </c>
      <c r="BE17" s="36">
        <f>BD18</f>
        <v>12</v>
      </c>
      <c r="BF17" s="149">
        <f>BD16</f>
        <v>10</v>
      </c>
      <c r="BG17" s="138">
        <f t="shared" si="30"/>
        <v>11</v>
      </c>
      <c r="BH17" s="36">
        <f>BG18</f>
        <v>12</v>
      </c>
      <c r="BI17" s="149">
        <f>BG15</f>
        <v>9</v>
      </c>
      <c r="BJ17" s="138">
        <f t="shared" si="31"/>
        <v>11</v>
      </c>
      <c r="BK17" s="36">
        <f>BJ18</f>
        <v>12</v>
      </c>
      <c r="BL17" s="36">
        <f>BJ15</f>
        <v>9</v>
      </c>
      <c r="BM17" s="138">
        <f t="shared" si="32"/>
        <v>11</v>
      </c>
      <c r="BN17" s="36" t="str">
        <f>$AE$1</f>
        <v>VL</v>
      </c>
      <c r="BO17" s="149">
        <f>BM7</f>
        <v>1</v>
      </c>
      <c r="BP17" s="36">
        <f t="shared" si="33"/>
        <v>11</v>
      </c>
      <c r="BQ17" s="36" t="str">
        <f>$AE$1</f>
        <v>VL</v>
      </c>
      <c r="BR17" s="149">
        <f>BP7</f>
        <v>1</v>
      </c>
      <c r="BS17" s="138"/>
      <c r="BU17" s="149"/>
      <c r="BY17" s="138"/>
      <c r="CA17" s="149"/>
      <c r="CE17" s="138"/>
      <c r="CG17" s="149"/>
      <c r="CK17" s="138"/>
      <c r="CM17" s="149"/>
      <c r="CQ17" s="138"/>
      <c r="CS17" s="149"/>
      <c r="CW17" s="138"/>
      <c r="CY17" s="149"/>
      <c r="DC17" s="138"/>
      <c r="DE17" s="149"/>
      <c r="DI17" s="138"/>
      <c r="DK17" s="149"/>
      <c r="DN17" s="36">
        <f t="shared" si="128"/>
        <v>11</v>
      </c>
      <c r="DO17" s="138">
        <f t="shared" si="41"/>
        <v>11</v>
      </c>
      <c r="DP17" s="36">
        <f t="shared" si="42"/>
        <v>11</v>
      </c>
      <c r="DQ17" s="36">
        <f t="shared" si="43"/>
        <v>11</v>
      </c>
      <c r="DR17" s="36">
        <f t="shared" si="44"/>
        <v>11</v>
      </c>
      <c r="DS17" s="36">
        <f t="shared" si="45"/>
        <v>11</v>
      </c>
      <c r="DT17" s="36">
        <f t="shared" si="46"/>
        <v>11</v>
      </c>
      <c r="DU17" s="36">
        <f t="shared" si="47"/>
        <v>11</v>
      </c>
      <c r="DV17" s="36">
        <f t="shared" si="48"/>
        <v>11</v>
      </c>
      <c r="DW17" s="36">
        <f t="shared" si="49"/>
        <v>11</v>
      </c>
      <c r="DX17" s="36">
        <f t="shared" si="50"/>
        <v>11</v>
      </c>
      <c r="DY17" s="36">
        <f t="shared" si="51"/>
        <v>11</v>
      </c>
      <c r="DZ17" s="36">
        <f t="shared" si="52"/>
        <v>11</v>
      </c>
      <c r="EA17" s="36">
        <f t="shared" si="53"/>
        <v>0</v>
      </c>
      <c r="EB17" s="36">
        <f t="shared" si="54"/>
        <v>0</v>
      </c>
      <c r="EC17" s="36">
        <f t="shared" si="55"/>
        <v>0</v>
      </c>
      <c r="ED17" s="36">
        <f t="shared" si="56"/>
        <v>0</v>
      </c>
      <c r="EE17" s="36">
        <f t="shared" si="57"/>
        <v>0</v>
      </c>
      <c r="EF17" s="36">
        <f t="shared" si="58"/>
        <v>0</v>
      </c>
      <c r="EG17" s="36">
        <f t="shared" si="59"/>
        <v>0</v>
      </c>
      <c r="EH17" s="36">
        <f t="shared" si="60"/>
        <v>0</v>
      </c>
      <c r="EI17" s="36">
        <f t="shared" si="61"/>
        <v>0</v>
      </c>
      <c r="EJ17" s="36">
        <f t="shared" si="62"/>
        <v>0</v>
      </c>
      <c r="EK17" s="36">
        <f t="shared" si="63"/>
        <v>0</v>
      </c>
      <c r="EL17" s="36">
        <f t="shared" si="64"/>
        <v>0</v>
      </c>
      <c r="EM17" s="36">
        <f t="shared" si="65"/>
        <v>0</v>
      </c>
      <c r="EN17" s="36">
        <f t="shared" si="66"/>
        <v>0</v>
      </c>
      <c r="EO17" s="149">
        <f t="shared" si="67"/>
        <v>0</v>
      </c>
      <c r="ES17" s="36">
        <f t="shared" si="129"/>
        <v>11</v>
      </c>
      <c r="ET17" s="138">
        <f t="shared" si="68"/>
        <v>12</v>
      </c>
      <c r="EU17" s="36">
        <f t="shared" si="69"/>
        <v>12</v>
      </c>
      <c r="EV17" s="36">
        <f t="shared" si="70"/>
        <v>12</v>
      </c>
      <c r="EW17" s="36">
        <f t="shared" si="71"/>
        <v>12</v>
      </c>
      <c r="EX17" s="36">
        <f t="shared" si="72"/>
        <v>12</v>
      </c>
      <c r="EY17" s="36">
        <f t="shared" si="73"/>
        <v>12</v>
      </c>
      <c r="EZ17" s="36">
        <f t="shared" si="74"/>
        <v>12</v>
      </c>
      <c r="FA17" s="36">
        <f t="shared" si="75"/>
        <v>12</v>
      </c>
      <c r="FB17" s="36">
        <f t="shared" si="76"/>
        <v>12</v>
      </c>
      <c r="FC17" s="36">
        <f t="shared" si="77"/>
        <v>12</v>
      </c>
      <c r="FD17" s="36" t="str">
        <f t="shared" si="78"/>
        <v>VL</v>
      </c>
      <c r="FE17" s="36" t="str">
        <f t="shared" si="79"/>
        <v>VL</v>
      </c>
      <c r="FF17" s="36">
        <f t="shared" si="80"/>
        <v>0</v>
      </c>
      <c r="FG17" s="36">
        <f t="shared" si="81"/>
        <v>0</v>
      </c>
      <c r="FH17" s="36">
        <f t="shared" si="82"/>
        <v>0</v>
      </c>
      <c r="FI17" s="36">
        <f t="shared" si="83"/>
        <v>0</v>
      </c>
      <c r="FJ17" s="36">
        <f t="shared" si="84"/>
        <v>0</v>
      </c>
      <c r="FK17" s="36">
        <f t="shared" si="85"/>
        <v>0</v>
      </c>
      <c r="FL17" s="36">
        <f t="shared" si="86"/>
        <v>0</v>
      </c>
      <c r="FM17" s="36">
        <f t="shared" si="87"/>
        <v>0</v>
      </c>
      <c r="FN17" s="36">
        <f t="shared" si="88"/>
        <v>0</v>
      </c>
      <c r="FO17" s="36">
        <f t="shared" si="89"/>
        <v>0</v>
      </c>
      <c r="FP17" s="36">
        <f t="shared" si="90"/>
        <v>0</v>
      </c>
      <c r="FQ17" s="36">
        <f t="shared" si="91"/>
        <v>0</v>
      </c>
      <c r="FR17" s="36">
        <f t="shared" si="92"/>
        <v>0</v>
      </c>
      <c r="FS17" s="36">
        <f t="shared" si="93"/>
        <v>0</v>
      </c>
      <c r="FT17" s="149">
        <f t="shared" si="94"/>
        <v>0</v>
      </c>
      <c r="FX17" s="36">
        <f t="shared" si="130"/>
        <v>11</v>
      </c>
      <c r="FY17" s="138">
        <f t="shared" si="95"/>
        <v>9</v>
      </c>
      <c r="FZ17" s="36">
        <f t="shared" si="96"/>
        <v>9</v>
      </c>
      <c r="GA17" s="36">
        <f t="shared" si="97"/>
        <v>10</v>
      </c>
      <c r="GB17" s="36">
        <f t="shared" si="98"/>
        <v>10</v>
      </c>
      <c r="GC17" s="36">
        <f t="shared" si="99"/>
        <v>9</v>
      </c>
      <c r="GD17" s="36">
        <f t="shared" si="100"/>
        <v>9</v>
      </c>
      <c r="GE17" s="36">
        <f t="shared" si="101"/>
        <v>10</v>
      </c>
      <c r="GF17" s="36">
        <f t="shared" si="102"/>
        <v>10</v>
      </c>
      <c r="GG17" s="36">
        <f t="shared" si="103"/>
        <v>9</v>
      </c>
      <c r="GH17" s="36">
        <f t="shared" si="104"/>
        <v>9</v>
      </c>
      <c r="GI17" s="36">
        <f t="shared" si="105"/>
        <v>1</v>
      </c>
      <c r="GJ17" s="36">
        <f t="shared" si="106"/>
        <v>1</v>
      </c>
      <c r="GK17" s="36">
        <f t="shared" si="107"/>
        <v>0</v>
      </c>
      <c r="GL17" s="36">
        <f t="shared" si="108"/>
        <v>0</v>
      </c>
      <c r="GM17" s="36">
        <f t="shared" si="109"/>
        <v>0</v>
      </c>
      <c r="GN17" s="36">
        <f t="shared" si="110"/>
        <v>0</v>
      </c>
      <c r="GO17" s="36">
        <f t="shared" si="111"/>
        <v>0</v>
      </c>
      <c r="GP17" s="36">
        <f t="shared" si="112"/>
        <v>0</v>
      </c>
      <c r="GQ17" s="36">
        <f t="shared" si="113"/>
        <v>0</v>
      </c>
      <c r="GR17" s="36">
        <f t="shared" si="114"/>
        <v>0</v>
      </c>
      <c r="GS17" s="36">
        <f t="shared" si="115"/>
        <v>0</v>
      </c>
      <c r="GT17" s="36">
        <f t="shared" si="116"/>
        <v>0</v>
      </c>
      <c r="GU17" s="36">
        <f t="shared" si="117"/>
        <v>0</v>
      </c>
      <c r="GV17" s="36">
        <f t="shared" si="118"/>
        <v>0</v>
      </c>
      <c r="GW17" s="36">
        <f t="shared" si="119"/>
        <v>0</v>
      </c>
      <c r="GX17" s="36">
        <f t="shared" si="120"/>
        <v>0</v>
      </c>
      <c r="GY17" s="149">
        <f t="shared" si="121"/>
        <v>0</v>
      </c>
      <c r="HD17" s="36">
        <f t="shared" si="131"/>
        <v>11</v>
      </c>
      <c r="HE17" s="36">
        <f t="shared" si="122"/>
        <v>0</v>
      </c>
      <c r="HF17" s="36">
        <f t="shared" si="123"/>
        <v>0</v>
      </c>
      <c r="HG17" s="36">
        <f t="shared" si="124"/>
        <v>0</v>
      </c>
      <c r="HJ17" s="36">
        <f>HJ15+1</f>
        <v>6</v>
      </c>
      <c r="HK17" s="152" t="str">
        <f>IF(HE12=0,"",HE12)</f>
        <v/>
      </c>
      <c r="HL17" s="36" t="str">
        <f>IF(HF12=0,"",HF12)</f>
        <v/>
      </c>
      <c r="HM17" s="153" t="str">
        <f>IF(HG12=0,"",HG12)</f>
        <v/>
      </c>
      <c r="HQ17" s="159" t="str">
        <f t="shared" si="125"/>
        <v/>
      </c>
      <c r="HR17" s="160" t="str">
        <f t="shared" si="126"/>
        <v/>
      </c>
      <c r="HU17" s="36">
        <v>11</v>
      </c>
      <c r="HV17" s="36">
        <f t="shared" si="132"/>
        <v>11</v>
      </c>
      <c r="HW17" s="139">
        <v>11</v>
      </c>
      <c r="HX17" s="136">
        <v>11</v>
      </c>
      <c r="HY17" s="136">
        <v>9</v>
      </c>
      <c r="HZ17" s="136">
        <v>9</v>
      </c>
      <c r="IA17" s="136">
        <v>11</v>
      </c>
      <c r="IB17" s="136">
        <v>11</v>
      </c>
      <c r="IC17" s="136">
        <v>9</v>
      </c>
      <c r="ID17" s="136">
        <v>9</v>
      </c>
      <c r="IE17" s="136">
        <v>11</v>
      </c>
      <c r="IF17" s="136">
        <v>11</v>
      </c>
      <c r="IG17" s="136">
        <v>9</v>
      </c>
      <c r="IH17" s="136">
        <v>9</v>
      </c>
      <c r="II17" s="136">
        <v>0</v>
      </c>
      <c r="IJ17" s="136">
        <v>0</v>
      </c>
      <c r="IK17" s="136">
        <v>0</v>
      </c>
      <c r="IL17" s="136">
        <v>0</v>
      </c>
      <c r="IM17" s="136">
        <v>0</v>
      </c>
      <c r="IN17" s="136">
        <v>0</v>
      </c>
      <c r="IO17" s="136">
        <v>0</v>
      </c>
      <c r="IP17" s="136">
        <v>0</v>
      </c>
      <c r="IQ17" s="136">
        <v>0</v>
      </c>
      <c r="IR17" s="136">
        <v>0</v>
      </c>
      <c r="IS17" s="136">
        <v>0</v>
      </c>
      <c r="IT17" s="136">
        <v>0</v>
      </c>
      <c r="IU17" s="136">
        <v>0</v>
      </c>
      <c r="IV17" s="136">
        <v>0</v>
      </c>
      <c r="IW17" s="166">
        <v>0</v>
      </c>
      <c r="IY17" s="36">
        <f t="shared" si="127"/>
        <v>0</v>
      </c>
    </row>
    <row r="18" spans="1:267" ht="15.9" customHeight="1" x14ac:dyDescent="0.3">
      <c r="A18" s="104">
        <v>12</v>
      </c>
      <c r="B18" s="94"/>
      <c r="C18" s="95"/>
      <c r="D18" s="96"/>
      <c r="E18" s="10"/>
      <c r="F18" s="9"/>
      <c r="G18" s="97"/>
      <c r="H18" s="98"/>
      <c r="I18" s="91"/>
      <c r="K18" s="67" t="str">
        <f>[1]List1!$B$118</f>
        <v>žákyně</v>
      </c>
      <c r="L18" s="36" t="str">
        <f t="shared" si="11"/>
        <v/>
      </c>
      <c r="U18" s="36" t="str">
        <f t="shared" si="134"/>
        <v/>
      </c>
      <c r="V18" s="36" t="str">
        <f t="shared" si="12"/>
        <v/>
      </c>
      <c r="W18" s="36">
        <f t="shared" si="133"/>
        <v>0</v>
      </c>
      <c r="Z18" s="1">
        <f t="shared" si="135"/>
        <v>0</v>
      </c>
      <c r="AA18" s="1">
        <f t="shared" si="136"/>
        <v>0</v>
      </c>
      <c r="AB18" s="53" t="str">
        <f>[1]List1!$A$118</f>
        <v>WU15</v>
      </c>
      <c r="AC18" t="str">
        <f t="shared" si="18"/>
        <v/>
      </c>
      <c r="AE18" s="36">
        <f t="shared" si="19"/>
        <v>0</v>
      </c>
      <c r="AF18" s="36">
        <f t="shared" si="20"/>
        <v>12</v>
      </c>
      <c r="AH18" s="36">
        <v>12</v>
      </c>
      <c r="AI18" s="138">
        <f t="shared" si="21"/>
        <v>12</v>
      </c>
      <c r="AJ18" s="36">
        <f>AF17</f>
        <v>11</v>
      </c>
      <c r="AK18" s="149">
        <f>AI16</f>
        <v>10</v>
      </c>
      <c r="AL18" s="36">
        <f t="shared" si="22"/>
        <v>12</v>
      </c>
      <c r="AM18" s="36">
        <f t="shared" si="23"/>
        <v>11</v>
      </c>
      <c r="AN18" s="149">
        <f>AL16</f>
        <v>10</v>
      </c>
      <c r="AO18" s="138">
        <f t="shared" si="24"/>
        <v>12</v>
      </c>
      <c r="AP18" s="36">
        <f>AO17</f>
        <v>11</v>
      </c>
      <c r="AQ18" s="149">
        <f>AO19</f>
        <v>13</v>
      </c>
      <c r="AR18" s="36">
        <f t="shared" si="25"/>
        <v>12</v>
      </c>
      <c r="AS18" s="36">
        <f>AR17</f>
        <v>11</v>
      </c>
      <c r="AT18" s="149">
        <f>AR19</f>
        <v>13</v>
      </c>
      <c r="AU18" s="138">
        <f t="shared" si="26"/>
        <v>12</v>
      </c>
      <c r="AV18" s="36">
        <f>AU17</f>
        <v>11</v>
      </c>
      <c r="AW18" s="149">
        <v>14</v>
      </c>
      <c r="AX18" s="138">
        <f t="shared" si="27"/>
        <v>12</v>
      </c>
      <c r="AY18" s="36">
        <f>AX17</f>
        <v>11</v>
      </c>
      <c r="AZ18" s="149">
        <v>14</v>
      </c>
      <c r="BA18" s="138">
        <f t="shared" si="28"/>
        <v>12</v>
      </c>
      <c r="BB18" s="36">
        <f>BA17</f>
        <v>11</v>
      </c>
      <c r="BC18" s="149" t="str">
        <f>BB19</f>
        <v>VL</v>
      </c>
      <c r="BD18" s="36">
        <f t="shared" si="29"/>
        <v>12</v>
      </c>
      <c r="BE18" s="36">
        <f>BD17</f>
        <v>11</v>
      </c>
      <c r="BF18" s="149" t="str">
        <f>BE19</f>
        <v>VL</v>
      </c>
      <c r="BG18" s="138">
        <f t="shared" si="30"/>
        <v>12</v>
      </c>
      <c r="BH18" s="36">
        <f>BG17</f>
        <v>11</v>
      </c>
      <c r="BI18" s="149">
        <f>BG16</f>
        <v>10</v>
      </c>
      <c r="BJ18" s="138">
        <f t="shared" si="31"/>
        <v>12</v>
      </c>
      <c r="BK18" s="36">
        <f>BJ17</f>
        <v>11</v>
      </c>
      <c r="BL18" s="36">
        <f>BJ16</f>
        <v>10</v>
      </c>
      <c r="BM18" s="138"/>
      <c r="BN18" s="36"/>
      <c r="BO18" s="149"/>
      <c r="BS18" s="138"/>
      <c r="BU18" s="149"/>
      <c r="BY18" s="138"/>
      <c r="CA18" s="149"/>
      <c r="CE18" s="138"/>
      <c r="CG18" s="149"/>
      <c r="CK18" s="138"/>
      <c r="CM18" s="149"/>
      <c r="CQ18" s="138"/>
      <c r="CS18" s="149"/>
      <c r="CW18" s="138"/>
      <c r="CY18" s="149"/>
      <c r="DC18" s="138"/>
      <c r="DE18" s="149"/>
      <c r="DI18" s="138"/>
      <c r="DK18" s="149"/>
      <c r="DN18" s="36">
        <f t="shared" si="128"/>
        <v>12</v>
      </c>
      <c r="DO18" s="138">
        <f t="shared" si="41"/>
        <v>12</v>
      </c>
      <c r="DP18" s="36">
        <f t="shared" si="42"/>
        <v>12</v>
      </c>
      <c r="DQ18" s="36">
        <f t="shared" si="43"/>
        <v>12</v>
      </c>
      <c r="DR18" s="36">
        <f t="shared" si="44"/>
        <v>12</v>
      </c>
      <c r="DS18" s="36">
        <f t="shared" si="45"/>
        <v>12</v>
      </c>
      <c r="DT18" s="36">
        <f t="shared" si="46"/>
        <v>12</v>
      </c>
      <c r="DU18" s="36">
        <f t="shared" si="47"/>
        <v>12</v>
      </c>
      <c r="DV18" s="36">
        <f t="shared" si="48"/>
        <v>12</v>
      </c>
      <c r="DW18" s="36">
        <f t="shared" si="49"/>
        <v>12</v>
      </c>
      <c r="DX18" s="36">
        <f t="shared" si="50"/>
        <v>12</v>
      </c>
      <c r="DY18" s="36">
        <f t="shared" si="51"/>
        <v>0</v>
      </c>
      <c r="DZ18" s="36">
        <f t="shared" si="52"/>
        <v>0</v>
      </c>
      <c r="EA18" s="36">
        <f t="shared" si="53"/>
        <v>0</v>
      </c>
      <c r="EB18" s="36">
        <f t="shared" si="54"/>
        <v>0</v>
      </c>
      <c r="EC18" s="36">
        <f t="shared" si="55"/>
        <v>0</v>
      </c>
      <c r="ED18" s="36">
        <f t="shared" si="56"/>
        <v>0</v>
      </c>
      <c r="EE18" s="36">
        <f t="shared" si="57"/>
        <v>0</v>
      </c>
      <c r="EF18" s="36">
        <f t="shared" si="58"/>
        <v>0</v>
      </c>
      <c r="EG18" s="36">
        <f t="shared" si="59"/>
        <v>0</v>
      </c>
      <c r="EH18" s="36">
        <f t="shared" si="60"/>
        <v>0</v>
      </c>
      <c r="EI18" s="36">
        <f t="shared" si="61"/>
        <v>0</v>
      </c>
      <c r="EJ18" s="36">
        <f t="shared" si="62"/>
        <v>0</v>
      </c>
      <c r="EK18" s="36">
        <f t="shared" si="63"/>
        <v>0</v>
      </c>
      <c r="EL18" s="36">
        <f t="shared" si="64"/>
        <v>0</v>
      </c>
      <c r="EM18" s="36">
        <f t="shared" si="65"/>
        <v>0</v>
      </c>
      <c r="EN18" s="36">
        <f t="shared" si="66"/>
        <v>0</v>
      </c>
      <c r="EO18" s="149">
        <f t="shared" si="67"/>
        <v>0</v>
      </c>
      <c r="ES18" s="36">
        <f t="shared" si="129"/>
        <v>12</v>
      </c>
      <c r="ET18" s="138">
        <f t="shared" si="68"/>
        <v>11</v>
      </c>
      <c r="EU18" s="36">
        <f t="shared" si="69"/>
        <v>11</v>
      </c>
      <c r="EV18" s="36">
        <f t="shared" si="70"/>
        <v>11</v>
      </c>
      <c r="EW18" s="36">
        <f t="shared" si="71"/>
        <v>11</v>
      </c>
      <c r="EX18" s="36">
        <f t="shared" si="72"/>
        <v>11</v>
      </c>
      <c r="EY18" s="36">
        <f t="shared" si="73"/>
        <v>11</v>
      </c>
      <c r="EZ18" s="36">
        <f t="shared" si="74"/>
        <v>11</v>
      </c>
      <c r="FA18" s="36">
        <f t="shared" si="75"/>
        <v>11</v>
      </c>
      <c r="FB18" s="36">
        <f t="shared" si="76"/>
        <v>11</v>
      </c>
      <c r="FC18" s="36">
        <f t="shared" si="77"/>
        <v>11</v>
      </c>
      <c r="FD18" s="36">
        <f t="shared" si="78"/>
        <v>0</v>
      </c>
      <c r="FE18" s="36">
        <f t="shared" si="79"/>
        <v>0</v>
      </c>
      <c r="FF18" s="36">
        <f t="shared" si="80"/>
        <v>0</v>
      </c>
      <c r="FG18" s="36">
        <f t="shared" si="81"/>
        <v>0</v>
      </c>
      <c r="FH18" s="36">
        <f t="shared" si="82"/>
        <v>0</v>
      </c>
      <c r="FI18" s="36">
        <f t="shared" si="83"/>
        <v>0</v>
      </c>
      <c r="FJ18" s="36">
        <f t="shared" si="84"/>
        <v>0</v>
      </c>
      <c r="FK18" s="36">
        <f t="shared" si="85"/>
        <v>0</v>
      </c>
      <c r="FL18" s="36">
        <f t="shared" si="86"/>
        <v>0</v>
      </c>
      <c r="FM18" s="36">
        <f t="shared" si="87"/>
        <v>0</v>
      </c>
      <c r="FN18" s="36">
        <f t="shared" si="88"/>
        <v>0</v>
      </c>
      <c r="FO18" s="36">
        <f t="shared" si="89"/>
        <v>0</v>
      </c>
      <c r="FP18" s="36">
        <f t="shared" si="90"/>
        <v>0</v>
      </c>
      <c r="FQ18" s="36">
        <f t="shared" si="91"/>
        <v>0</v>
      </c>
      <c r="FR18" s="36">
        <f t="shared" si="92"/>
        <v>0</v>
      </c>
      <c r="FS18" s="36">
        <f t="shared" si="93"/>
        <v>0</v>
      </c>
      <c r="FT18" s="149">
        <f t="shared" si="94"/>
        <v>0</v>
      </c>
      <c r="FX18" s="36">
        <f t="shared" si="130"/>
        <v>12</v>
      </c>
      <c r="FY18" s="138">
        <f t="shared" si="95"/>
        <v>10</v>
      </c>
      <c r="FZ18" s="36">
        <f t="shared" si="96"/>
        <v>10</v>
      </c>
      <c r="GA18" s="36">
        <f t="shared" si="97"/>
        <v>13</v>
      </c>
      <c r="GB18" s="36">
        <f t="shared" si="98"/>
        <v>13</v>
      </c>
      <c r="GC18" s="36">
        <f t="shared" si="99"/>
        <v>14</v>
      </c>
      <c r="GD18" s="36">
        <f t="shared" si="100"/>
        <v>14</v>
      </c>
      <c r="GE18" s="36" t="str">
        <f t="shared" si="101"/>
        <v>VL</v>
      </c>
      <c r="GF18" s="36" t="str">
        <f t="shared" si="102"/>
        <v>VL</v>
      </c>
      <c r="GG18" s="36">
        <f t="shared" si="103"/>
        <v>10</v>
      </c>
      <c r="GH18" s="36">
        <f t="shared" si="104"/>
        <v>10</v>
      </c>
      <c r="GI18" s="36">
        <f t="shared" si="105"/>
        <v>0</v>
      </c>
      <c r="GJ18" s="36">
        <f t="shared" si="106"/>
        <v>0</v>
      </c>
      <c r="GK18" s="36">
        <f t="shared" si="107"/>
        <v>0</v>
      </c>
      <c r="GL18" s="36">
        <f t="shared" si="108"/>
        <v>0</v>
      </c>
      <c r="GM18" s="36">
        <f t="shared" si="109"/>
        <v>0</v>
      </c>
      <c r="GN18" s="36">
        <f t="shared" si="110"/>
        <v>0</v>
      </c>
      <c r="GO18" s="36">
        <f t="shared" si="111"/>
        <v>0</v>
      </c>
      <c r="GP18" s="36">
        <f t="shared" si="112"/>
        <v>0</v>
      </c>
      <c r="GQ18" s="36">
        <f t="shared" si="113"/>
        <v>0</v>
      </c>
      <c r="GR18" s="36">
        <f t="shared" si="114"/>
        <v>0</v>
      </c>
      <c r="GS18" s="36">
        <f t="shared" si="115"/>
        <v>0</v>
      </c>
      <c r="GT18" s="36">
        <f t="shared" si="116"/>
        <v>0</v>
      </c>
      <c r="GU18" s="36">
        <f t="shared" si="117"/>
        <v>0</v>
      </c>
      <c r="GV18" s="36">
        <f t="shared" si="118"/>
        <v>0</v>
      </c>
      <c r="GW18" s="36">
        <f t="shared" si="119"/>
        <v>0</v>
      </c>
      <c r="GX18" s="36">
        <f t="shared" si="120"/>
        <v>0</v>
      </c>
      <c r="GY18" s="149">
        <f t="shared" si="121"/>
        <v>0</v>
      </c>
      <c r="HD18" s="36">
        <f t="shared" si="131"/>
        <v>12</v>
      </c>
      <c r="HE18" s="36">
        <f t="shared" si="122"/>
        <v>0</v>
      </c>
      <c r="HF18" s="36">
        <f t="shared" si="123"/>
        <v>0</v>
      </c>
      <c r="HG18" s="36">
        <f t="shared" si="124"/>
        <v>0</v>
      </c>
      <c r="HK18" s="152"/>
      <c r="HM18" s="153"/>
      <c r="HQ18" s="159" t="str">
        <f t="shared" si="125"/>
        <v/>
      </c>
      <c r="HR18" s="160" t="str">
        <f t="shared" si="126"/>
        <v/>
      </c>
      <c r="HU18" s="36">
        <v>12</v>
      </c>
      <c r="HV18" s="36">
        <f t="shared" si="132"/>
        <v>12</v>
      </c>
      <c r="HW18" s="139">
        <v>12</v>
      </c>
      <c r="HX18" s="136">
        <v>12</v>
      </c>
      <c r="HY18" s="136">
        <v>10</v>
      </c>
      <c r="HZ18" s="136">
        <v>10</v>
      </c>
      <c r="IA18" s="136">
        <v>12</v>
      </c>
      <c r="IB18" s="136">
        <v>12</v>
      </c>
      <c r="IC18" s="136">
        <v>10</v>
      </c>
      <c r="ID18" s="136">
        <v>10</v>
      </c>
      <c r="IE18" s="136">
        <v>12</v>
      </c>
      <c r="IF18" s="136">
        <v>12</v>
      </c>
      <c r="IG18" s="136">
        <v>0</v>
      </c>
      <c r="IH18" s="136">
        <v>0</v>
      </c>
      <c r="II18" s="136">
        <v>0</v>
      </c>
      <c r="IJ18" s="136">
        <v>0</v>
      </c>
      <c r="IK18" s="136">
        <v>0</v>
      </c>
      <c r="IL18" s="136">
        <v>0</v>
      </c>
      <c r="IM18" s="136">
        <v>0</v>
      </c>
      <c r="IN18" s="136">
        <v>0</v>
      </c>
      <c r="IO18" s="136">
        <v>0</v>
      </c>
      <c r="IP18" s="136">
        <v>0</v>
      </c>
      <c r="IQ18" s="136">
        <v>0</v>
      </c>
      <c r="IR18" s="136">
        <v>0</v>
      </c>
      <c r="IS18" s="136">
        <v>0</v>
      </c>
      <c r="IT18" s="136">
        <v>0</v>
      </c>
      <c r="IU18" s="136">
        <v>0</v>
      </c>
      <c r="IV18" s="136">
        <v>0</v>
      </c>
      <c r="IW18" s="166">
        <v>0</v>
      </c>
      <c r="IY18" s="36">
        <f t="shared" si="127"/>
        <v>0</v>
      </c>
    </row>
    <row r="19" spans="1:267" ht="15.9" customHeight="1" x14ac:dyDescent="0.3">
      <c r="A19" s="104">
        <f t="shared" ref="A19:A38" si="137">A18+1</f>
        <v>13</v>
      </c>
      <c r="B19" s="99"/>
      <c r="C19" s="97"/>
      <c r="D19" s="96"/>
      <c r="E19" s="10"/>
      <c r="F19" s="9"/>
      <c r="G19" s="97"/>
      <c r="H19" s="98"/>
      <c r="I19" s="91"/>
      <c r="K19" s="82" t="str">
        <f>[1]List1!$B$117</f>
        <v>mladší žákyně</v>
      </c>
      <c r="L19" s="83" t="str">
        <f t="shared" si="11"/>
        <v/>
      </c>
      <c r="U19" s="36" t="str">
        <f t="shared" si="134"/>
        <v/>
      </c>
      <c r="V19" s="36" t="str">
        <f t="shared" si="12"/>
        <v/>
      </c>
      <c r="W19" s="36">
        <f t="shared" si="133"/>
        <v>0</v>
      </c>
      <c r="Z19" s="1">
        <f t="shared" si="135"/>
        <v>0</v>
      </c>
      <c r="AA19" s="1">
        <f t="shared" si="136"/>
        <v>0</v>
      </c>
      <c r="AB19" s="53" t="str">
        <f>[1]List1!$A$117</f>
        <v>ž-ml.ž</v>
      </c>
      <c r="AC19" t="str">
        <f t="shared" si="18"/>
        <v/>
      </c>
      <c r="AE19" s="36">
        <f t="shared" si="19"/>
        <v>0</v>
      </c>
      <c r="AF19" s="36">
        <f t="shared" si="20"/>
        <v>13</v>
      </c>
      <c r="AH19" s="36">
        <v>13</v>
      </c>
      <c r="AI19" s="138">
        <f t="shared" si="21"/>
        <v>13</v>
      </c>
      <c r="AJ19" s="36">
        <f>AF20</f>
        <v>14</v>
      </c>
      <c r="AK19" s="149">
        <f>AI21</f>
        <v>15</v>
      </c>
      <c r="AL19" s="36">
        <f t="shared" si="22"/>
        <v>13</v>
      </c>
      <c r="AM19" s="36">
        <f t="shared" si="23"/>
        <v>14</v>
      </c>
      <c r="AN19" s="149">
        <f>AL21</f>
        <v>15</v>
      </c>
      <c r="AO19" s="138">
        <f t="shared" si="24"/>
        <v>13</v>
      </c>
      <c r="AP19" s="36">
        <f>AO20</f>
        <v>14</v>
      </c>
      <c r="AQ19" s="149">
        <f>AO18</f>
        <v>12</v>
      </c>
      <c r="AR19" s="36">
        <f t="shared" si="25"/>
        <v>13</v>
      </c>
      <c r="AS19" s="36">
        <f>AR20</f>
        <v>14</v>
      </c>
      <c r="AT19" s="149">
        <f>AR18</f>
        <v>12</v>
      </c>
      <c r="AU19" s="138">
        <f t="shared" si="26"/>
        <v>13</v>
      </c>
      <c r="AV19" s="36">
        <f>AU20</f>
        <v>14</v>
      </c>
      <c r="AW19" s="149">
        <v>10</v>
      </c>
      <c r="AX19" s="138">
        <f t="shared" si="27"/>
        <v>13</v>
      </c>
      <c r="AY19" s="36">
        <f>AX20</f>
        <v>14</v>
      </c>
      <c r="AZ19" s="149">
        <v>10</v>
      </c>
      <c r="BA19" s="138">
        <f t="shared" si="28"/>
        <v>13</v>
      </c>
      <c r="BB19" s="36" t="str">
        <f>$AE$1</f>
        <v>VL</v>
      </c>
      <c r="BC19" s="149">
        <f>BA7</f>
        <v>1</v>
      </c>
      <c r="BD19" s="36">
        <f t="shared" si="29"/>
        <v>13</v>
      </c>
      <c r="BE19" s="36" t="str">
        <f>$AE$1</f>
        <v>VL</v>
      </c>
      <c r="BF19" s="149">
        <f>BD7</f>
        <v>1</v>
      </c>
      <c r="BG19" s="138"/>
      <c r="BH19" s="36"/>
      <c r="BI19" s="149"/>
      <c r="BJ19" s="138"/>
      <c r="BK19" s="36"/>
      <c r="BL19" s="36"/>
      <c r="BM19" s="138"/>
      <c r="BN19" s="36"/>
      <c r="BO19" s="149"/>
      <c r="BS19" s="138"/>
      <c r="BU19" s="149"/>
      <c r="BY19" s="138"/>
      <c r="CA19" s="149"/>
      <c r="CE19" s="138"/>
      <c r="CG19" s="149"/>
      <c r="CK19" s="138"/>
      <c r="CM19" s="149"/>
      <c r="CQ19" s="138"/>
      <c r="CS19" s="149"/>
      <c r="CW19" s="138"/>
      <c r="CY19" s="149"/>
      <c r="DC19" s="138"/>
      <c r="DE19" s="149"/>
      <c r="DI19" s="138"/>
      <c r="DK19" s="149"/>
      <c r="DN19" s="36">
        <f t="shared" si="128"/>
        <v>13</v>
      </c>
      <c r="DO19" s="138">
        <f t="shared" si="41"/>
        <v>13</v>
      </c>
      <c r="DP19" s="36">
        <f t="shared" si="42"/>
        <v>13</v>
      </c>
      <c r="DQ19" s="36">
        <f t="shared" si="43"/>
        <v>13</v>
      </c>
      <c r="DR19" s="36">
        <f t="shared" si="44"/>
        <v>13</v>
      </c>
      <c r="DS19" s="36">
        <f t="shared" si="45"/>
        <v>13</v>
      </c>
      <c r="DT19" s="36">
        <f t="shared" si="46"/>
        <v>13</v>
      </c>
      <c r="DU19" s="36">
        <f t="shared" si="47"/>
        <v>13</v>
      </c>
      <c r="DV19" s="36">
        <f t="shared" si="48"/>
        <v>13</v>
      </c>
      <c r="DW19" s="36">
        <f t="shared" si="49"/>
        <v>0</v>
      </c>
      <c r="DX19" s="36">
        <f t="shared" si="50"/>
        <v>0</v>
      </c>
      <c r="DY19" s="36">
        <f t="shared" si="51"/>
        <v>0</v>
      </c>
      <c r="DZ19" s="36">
        <f t="shared" si="52"/>
        <v>0</v>
      </c>
      <c r="EA19" s="36">
        <f t="shared" si="53"/>
        <v>0</v>
      </c>
      <c r="EB19" s="36">
        <f t="shared" si="54"/>
        <v>0</v>
      </c>
      <c r="EC19" s="36">
        <f t="shared" si="55"/>
        <v>0</v>
      </c>
      <c r="ED19" s="36">
        <f t="shared" si="56"/>
        <v>0</v>
      </c>
      <c r="EE19" s="36">
        <f t="shared" si="57"/>
        <v>0</v>
      </c>
      <c r="EF19" s="36">
        <f t="shared" si="58"/>
        <v>0</v>
      </c>
      <c r="EG19" s="36">
        <f t="shared" si="59"/>
        <v>0</v>
      </c>
      <c r="EH19" s="36">
        <f t="shared" si="60"/>
        <v>0</v>
      </c>
      <c r="EI19" s="36">
        <f t="shared" si="61"/>
        <v>0</v>
      </c>
      <c r="EJ19" s="36">
        <f t="shared" si="62"/>
        <v>0</v>
      </c>
      <c r="EK19" s="36">
        <f t="shared" si="63"/>
        <v>0</v>
      </c>
      <c r="EL19" s="36">
        <f t="shared" si="64"/>
        <v>0</v>
      </c>
      <c r="EM19" s="36">
        <f t="shared" si="65"/>
        <v>0</v>
      </c>
      <c r="EN19" s="36">
        <f t="shared" si="66"/>
        <v>0</v>
      </c>
      <c r="EO19" s="149">
        <f t="shared" si="67"/>
        <v>0</v>
      </c>
      <c r="ES19" s="36">
        <f t="shared" si="129"/>
        <v>13</v>
      </c>
      <c r="ET19" s="138">
        <f t="shared" si="68"/>
        <v>14</v>
      </c>
      <c r="EU19" s="36">
        <f t="shared" si="69"/>
        <v>14</v>
      </c>
      <c r="EV19" s="36">
        <f t="shared" si="70"/>
        <v>14</v>
      </c>
      <c r="EW19" s="36">
        <f t="shared" si="71"/>
        <v>14</v>
      </c>
      <c r="EX19" s="36">
        <f t="shared" si="72"/>
        <v>14</v>
      </c>
      <c r="EY19" s="36">
        <f t="shared" si="73"/>
        <v>14</v>
      </c>
      <c r="EZ19" s="36" t="str">
        <f t="shared" si="74"/>
        <v>VL</v>
      </c>
      <c r="FA19" s="36" t="str">
        <f t="shared" si="75"/>
        <v>VL</v>
      </c>
      <c r="FB19" s="36">
        <f t="shared" si="76"/>
        <v>0</v>
      </c>
      <c r="FC19" s="36">
        <f t="shared" si="77"/>
        <v>0</v>
      </c>
      <c r="FD19" s="36">
        <f t="shared" si="78"/>
        <v>0</v>
      </c>
      <c r="FE19" s="36">
        <f t="shared" si="79"/>
        <v>0</v>
      </c>
      <c r="FF19" s="36">
        <f t="shared" si="80"/>
        <v>0</v>
      </c>
      <c r="FG19" s="36">
        <f t="shared" si="81"/>
        <v>0</v>
      </c>
      <c r="FH19" s="36">
        <f t="shared" si="82"/>
        <v>0</v>
      </c>
      <c r="FI19" s="36">
        <f t="shared" si="83"/>
        <v>0</v>
      </c>
      <c r="FJ19" s="36">
        <f t="shared" si="84"/>
        <v>0</v>
      </c>
      <c r="FK19" s="36">
        <f t="shared" si="85"/>
        <v>0</v>
      </c>
      <c r="FL19" s="36">
        <f t="shared" si="86"/>
        <v>0</v>
      </c>
      <c r="FM19" s="36">
        <f t="shared" si="87"/>
        <v>0</v>
      </c>
      <c r="FN19" s="36">
        <f t="shared" si="88"/>
        <v>0</v>
      </c>
      <c r="FO19" s="36">
        <f t="shared" si="89"/>
        <v>0</v>
      </c>
      <c r="FP19" s="36">
        <f t="shared" si="90"/>
        <v>0</v>
      </c>
      <c r="FQ19" s="36">
        <f t="shared" si="91"/>
        <v>0</v>
      </c>
      <c r="FR19" s="36">
        <f t="shared" si="92"/>
        <v>0</v>
      </c>
      <c r="FS19" s="36">
        <f t="shared" si="93"/>
        <v>0</v>
      </c>
      <c r="FT19" s="149">
        <f t="shared" si="94"/>
        <v>0</v>
      </c>
      <c r="FX19" s="36">
        <f t="shared" si="130"/>
        <v>13</v>
      </c>
      <c r="FY19" s="138">
        <f t="shared" si="95"/>
        <v>15</v>
      </c>
      <c r="FZ19" s="36">
        <f t="shared" si="96"/>
        <v>15</v>
      </c>
      <c r="GA19" s="36">
        <f t="shared" si="97"/>
        <v>12</v>
      </c>
      <c r="GB19" s="36">
        <f t="shared" si="98"/>
        <v>12</v>
      </c>
      <c r="GC19" s="36">
        <f t="shared" si="99"/>
        <v>10</v>
      </c>
      <c r="GD19" s="36">
        <f t="shared" si="100"/>
        <v>10</v>
      </c>
      <c r="GE19" s="36">
        <f t="shared" si="101"/>
        <v>1</v>
      </c>
      <c r="GF19" s="36">
        <f t="shared" si="102"/>
        <v>1</v>
      </c>
      <c r="GG19" s="36">
        <f t="shared" si="103"/>
        <v>0</v>
      </c>
      <c r="GH19" s="36">
        <f t="shared" si="104"/>
        <v>0</v>
      </c>
      <c r="GI19" s="36">
        <f t="shared" si="105"/>
        <v>0</v>
      </c>
      <c r="GJ19" s="36">
        <f t="shared" si="106"/>
        <v>0</v>
      </c>
      <c r="GK19" s="36">
        <f t="shared" si="107"/>
        <v>0</v>
      </c>
      <c r="GL19" s="36">
        <f t="shared" si="108"/>
        <v>0</v>
      </c>
      <c r="GM19" s="36">
        <f t="shared" si="109"/>
        <v>0</v>
      </c>
      <c r="GN19" s="36">
        <f t="shared" si="110"/>
        <v>0</v>
      </c>
      <c r="GO19" s="36">
        <f t="shared" si="111"/>
        <v>0</v>
      </c>
      <c r="GP19" s="36">
        <f t="shared" si="112"/>
        <v>0</v>
      </c>
      <c r="GQ19" s="36">
        <f t="shared" si="113"/>
        <v>0</v>
      </c>
      <c r="GR19" s="36">
        <f t="shared" si="114"/>
        <v>0</v>
      </c>
      <c r="GS19" s="36">
        <f t="shared" si="115"/>
        <v>0</v>
      </c>
      <c r="GT19" s="36">
        <f t="shared" si="116"/>
        <v>0</v>
      </c>
      <c r="GU19" s="36">
        <f t="shared" si="117"/>
        <v>0</v>
      </c>
      <c r="GV19" s="36">
        <f t="shared" si="118"/>
        <v>0</v>
      </c>
      <c r="GW19" s="36">
        <f t="shared" si="119"/>
        <v>0</v>
      </c>
      <c r="GX19" s="36">
        <f t="shared" si="120"/>
        <v>0</v>
      </c>
      <c r="GY19" s="149">
        <f t="shared" si="121"/>
        <v>0</v>
      </c>
      <c r="HD19" s="36">
        <f t="shared" si="131"/>
        <v>13</v>
      </c>
      <c r="HE19" s="36">
        <f t="shared" si="122"/>
        <v>0</v>
      </c>
      <c r="HF19" s="36">
        <f t="shared" si="123"/>
        <v>0</v>
      </c>
      <c r="HG19" s="36">
        <f t="shared" si="124"/>
        <v>0</v>
      </c>
      <c r="HJ19" s="36">
        <f>HJ17+1</f>
        <v>7</v>
      </c>
      <c r="HK19" s="152" t="str">
        <f>IF(HE13=0,"",HE13)</f>
        <v/>
      </c>
      <c r="HL19" s="36" t="str">
        <f>IF(HF13=0,"",HF13)</f>
        <v/>
      </c>
      <c r="HM19" s="153" t="str">
        <f>IF(HG13=0,"",HG13)</f>
        <v/>
      </c>
      <c r="HQ19" s="159" t="str">
        <f t="shared" si="125"/>
        <v/>
      </c>
      <c r="HR19" s="160" t="str">
        <f t="shared" si="126"/>
        <v/>
      </c>
      <c r="HU19" s="36">
        <v>13</v>
      </c>
      <c r="HV19" s="36">
        <f t="shared" si="132"/>
        <v>13</v>
      </c>
      <c r="HW19" s="139">
        <v>13</v>
      </c>
      <c r="HX19" s="136">
        <v>13</v>
      </c>
      <c r="HY19" s="136">
        <v>11</v>
      </c>
      <c r="HZ19" s="136">
        <v>11</v>
      </c>
      <c r="IA19" s="136">
        <v>13</v>
      </c>
      <c r="IB19" s="136">
        <v>13</v>
      </c>
      <c r="IC19" s="136">
        <v>11</v>
      </c>
      <c r="ID19" s="136">
        <v>11</v>
      </c>
      <c r="IE19" s="136">
        <v>0</v>
      </c>
      <c r="IF19" s="136">
        <v>0</v>
      </c>
      <c r="IG19" s="136">
        <v>0</v>
      </c>
      <c r="IH19" s="136">
        <v>0</v>
      </c>
      <c r="II19" s="136">
        <v>0</v>
      </c>
      <c r="IJ19" s="136">
        <v>0</v>
      </c>
      <c r="IK19" s="136">
        <v>0</v>
      </c>
      <c r="IL19" s="136">
        <v>0</v>
      </c>
      <c r="IM19" s="136">
        <v>0</v>
      </c>
      <c r="IN19" s="136">
        <v>0</v>
      </c>
      <c r="IO19" s="136">
        <v>0</v>
      </c>
      <c r="IP19" s="136">
        <v>0</v>
      </c>
      <c r="IQ19" s="136">
        <v>0</v>
      </c>
      <c r="IR19" s="136">
        <v>0</v>
      </c>
      <c r="IS19" s="136">
        <v>0</v>
      </c>
      <c r="IT19" s="136">
        <v>0</v>
      </c>
      <c r="IU19" s="136">
        <v>0</v>
      </c>
      <c r="IV19" s="136">
        <v>0</v>
      </c>
      <c r="IW19" s="166">
        <v>0</v>
      </c>
      <c r="IY19" s="36">
        <f t="shared" si="127"/>
        <v>0</v>
      </c>
    </row>
    <row r="20" spans="1:267" ht="15.9" customHeight="1" x14ac:dyDescent="0.3">
      <c r="A20" s="104">
        <f t="shared" si="137"/>
        <v>14</v>
      </c>
      <c r="B20" s="100"/>
      <c r="C20" s="101"/>
      <c r="D20" s="96"/>
      <c r="E20" s="10"/>
      <c r="F20" s="9"/>
      <c r="G20" s="97"/>
      <c r="H20" s="98"/>
      <c r="I20" s="91"/>
      <c r="K20" s="84" t="str">
        <f>[1]List1!$B$116</f>
        <v>A přípravka žákyně</v>
      </c>
      <c r="L20" s="36" t="str">
        <f t="shared" si="11"/>
        <v/>
      </c>
      <c r="U20" s="36" t="str">
        <f t="shared" si="134"/>
        <v/>
      </c>
      <c r="V20" s="36" t="str">
        <f t="shared" si="12"/>
        <v/>
      </c>
      <c r="W20" s="36">
        <f t="shared" si="133"/>
        <v>0</v>
      </c>
      <c r="Z20" s="1">
        <f t="shared" si="135"/>
        <v>0</v>
      </c>
      <c r="AA20" s="1">
        <f t="shared" si="136"/>
        <v>0</v>
      </c>
      <c r="AB20" s="53" t="str">
        <f>[1]List1!$A$116</f>
        <v>ž-A příp</v>
      </c>
      <c r="AC20" t="str">
        <f t="shared" si="18"/>
        <v/>
      </c>
      <c r="AE20" s="36">
        <f t="shared" si="19"/>
        <v>0</v>
      </c>
      <c r="AF20" s="36">
        <f t="shared" si="20"/>
        <v>14</v>
      </c>
      <c r="AH20" s="36">
        <v>14</v>
      </c>
      <c r="AI20" s="138">
        <f t="shared" si="21"/>
        <v>14</v>
      </c>
      <c r="AJ20" s="36">
        <f>AF19</f>
        <v>13</v>
      </c>
      <c r="AK20" s="149">
        <f>AI22</f>
        <v>16</v>
      </c>
      <c r="AL20" s="36">
        <f t="shared" si="22"/>
        <v>14</v>
      </c>
      <c r="AM20" s="36">
        <f t="shared" si="23"/>
        <v>13</v>
      </c>
      <c r="AN20" s="149">
        <f>AL22</f>
        <v>16</v>
      </c>
      <c r="AO20" s="138">
        <f t="shared" si="24"/>
        <v>14</v>
      </c>
      <c r="AP20" s="36">
        <f>AO19</f>
        <v>13</v>
      </c>
      <c r="AQ20" s="149" t="str">
        <f>AP21</f>
        <v>VL</v>
      </c>
      <c r="AR20" s="36">
        <f t="shared" si="25"/>
        <v>14</v>
      </c>
      <c r="AS20" s="36">
        <f>AR19</f>
        <v>13</v>
      </c>
      <c r="AT20" s="149" t="str">
        <f>AS21</f>
        <v>VL</v>
      </c>
      <c r="AU20" s="138">
        <f t="shared" si="26"/>
        <v>14</v>
      </c>
      <c r="AV20" s="36">
        <f>AU19</f>
        <v>13</v>
      </c>
      <c r="AW20" s="149">
        <v>12</v>
      </c>
      <c r="AX20" s="138">
        <f t="shared" si="27"/>
        <v>14</v>
      </c>
      <c r="AY20" s="36">
        <f>AX19</f>
        <v>13</v>
      </c>
      <c r="AZ20" s="149">
        <v>12</v>
      </c>
      <c r="BA20" s="138"/>
      <c r="BC20" s="149"/>
      <c r="BG20" s="138"/>
      <c r="BH20" s="36"/>
      <c r="BI20" s="149"/>
      <c r="BJ20" s="138"/>
      <c r="BK20" s="36"/>
      <c r="BL20" s="36"/>
      <c r="BM20" s="138"/>
      <c r="BN20" s="36"/>
      <c r="BO20" s="149"/>
      <c r="BS20" s="138"/>
      <c r="BU20" s="149"/>
      <c r="BY20" s="138"/>
      <c r="CA20" s="149"/>
      <c r="CE20" s="138"/>
      <c r="CG20" s="149"/>
      <c r="CK20" s="138"/>
      <c r="CM20" s="149"/>
      <c r="CQ20" s="138"/>
      <c r="CS20" s="149"/>
      <c r="CW20" s="138"/>
      <c r="CY20" s="149"/>
      <c r="DC20" s="138"/>
      <c r="DE20" s="149"/>
      <c r="DI20" s="138"/>
      <c r="DK20" s="149"/>
      <c r="DN20" s="36">
        <f t="shared" si="128"/>
        <v>14</v>
      </c>
      <c r="DO20" s="138">
        <f t="shared" si="41"/>
        <v>14</v>
      </c>
      <c r="DP20" s="36">
        <f t="shared" si="42"/>
        <v>14</v>
      </c>
      <c r="DQ20" s="36">
        <f t="shared" si="43"/>
        <v>14</v>
      </c>
      <c r="DR20" s="36">
        <f t="shared" si="44"/>
        <v>14</v>
      </c>
      <c r="DS20" s="36">
        <f t="shared" si="45"/>
        <v>14</v>
      </c>
      <c r="DT20" s="36">
        <f t="shared" si="46"/>
        <v>14</v>
      </c>
      <c r="DU20" s="36">
        <f t="shared" si="47"/>
        <v>0</v>
      </c>
      <c r="DV20" s="36">
        <f t="shared" si="48"/>
        <v>0</v>
      </c>
      <c r="DW20" s="36">
        <f t="shared" si="49"/>
        <v>0</v>
      </c>
      <c r="DX20" s="36">
        <f t="shared" si="50"/>
        <v>0</v>
      </c>
      <c r="DY20" s="36">
        <f t="shared" si="51"/>
        <v>0</v>
      </c>
      <c r="DZ20" s="36">
        <f t="shared" si="52"/>
        <v>0</v>
      </c>
      <c r="EA20" s="36">
        <f t="shared" si="53"/>
        <v>0</v>
      </c>
      <c r="EB20" s="36">
        <f t="shared" si="54"/>
        <v>0</v>
      </c>
      <c r="EC20" s="36">
        <f t="shared" si="55"/>
        <v>0</v>
      </c>
      <c r="ED20" s="36">
        <f t="shared" si="56"/>
        <v>0</v>
      </c>
      <c r="EE20" s="36">
        <f t="shared" si="57"/>
        <v>0</v>
      </c>
      <c r="EF20" s="36">
        <f t="shared" si="58"/>
        <v>0</v>
      </c>
      <c r="EG20" s="36">
        <f t="shared" si="59"/>
        <v>0</v>
      </c>
      <c r="EH20" s="36">
        <f t="shared" si="60"/>
        <v>0</v>
      </c>
      <c r="EI20" s="36">
        <f t="shared" si="61"/>
        <v>0</v>
      </c>
      <c r="EJ20" s="36">
        <f t="shared" si="62"/>
        <v>0</v>
      </c>
      <c r="EK20" s="36">
        <f t="shared" si="63"/>
        <v>0</v>
      </c>
      <c r="EL20" s="36">
        <f t="shared" si="64"/>
        <v>0</v>
      </c>
      <c r="EM20" s="36">
        <f t="shared" si="65"/>
        <v>0</v>
      </c>
      <c r="EN20" s="36">
        <f t="shared" si="66"/>
        <v>0</v>
      </c>
      <c r="EO20" s="149">
        <f t="shared" si="67"/>
        <v>0</v>
      </c>
      <c r="ES20" s="36">
        <f t="shared" si="129"/>
        <v>14</v>
      </c>
      <c r="ET20" s="138">
        <f t="shared" si="68"/>
        <v>13</v>
      </c>
      <c r="EU20" s="36">
        <f t="shared" si="69"/>
        <v>13</v>
      </c>
      <c r="EV20" s="36">
        <f t="shared" si="70"/>
        <v>13</v>
      </c>
      <c r="EW20" s="36">
        <f t="shared" si="71"/>
        <v>13</v>
      </c>
      <c r="EX20" s="36">
        <f t="shared" si="72"/>
        <v>13</v>
      </c>
      <c r="EY20" s="36">
        <f t="shared" si="73"/>
        <v>13</v>
      </c>
      <c r="EZ20" s="36">
        <f t="shared" si="74"/>
        <v>0</v>
      </c>
      <c r="FA20" s="36">
        <f t="shared" si="75"/>
        <v>0</v>
      </c>
      <c r="FB20" s="36">
        <f t="shared" si="76"/>
        <v>0</v>
      </c>
      <c r="FC20" s="36">
        <f t="shared" si="77"/>
        <v>0</v>
      </c>
      <c r="FD20" s="36">
        <f t="shared" si="78"/>
        <v>0</v>
      </c>
      <c r="FE20" s="36">
        <f t="shared" si="79"/>
        <v>0</v>
      </c>
      <c r="FF20" s="36">
        <f t="shared" si="80"/>
        <v>0</v>
      </c>
      <c r="FG20" s="36">
        <f t="shared" si="81"/>
        <v>0</v>
      </c>
      <c r="FH20" s="36">
        <f t="shared" si="82"/>
        <v>0</v>
      </c>
      <c r="FI20" s="36">
        <f t="shared" si="83"/>
        <v>0</v>
      </c>
      <c r="FJ20" s="36">
        <f t="shared" si="84"/>
        <v>0</v>
      </c>
      <c r="FK20" s="36">
        <f t="shared" si="85"/>
        <v>0</v>
      </c>
      <c r="FL20" s="36">
        <f t="shared" si="86"/>
        <v>0</v>
      </c>
      <c r="FM20" s="36">
        <f t="shared" si="87"/>
        <v>0</v>
      </c>
      <c r="FN20" s="36">
        <f t="shared" si="88"/>
        <v>0</v>
      </c>
      <c r="FO20" s="36">
        <f t="shared" si="89"/>
        <v>0</v>
      </c>
      <c r="FP20" s="36">
        <f t="shared" si="90"/>
        <v>0</v>
      </c>
      <c r="FQ20" s="36">
        <f t="shared" si="91"/>
        <v>0</v>
      </c>
      <c r="FR20" s="36">
        <f t="shared" si="92"/>
        <v>0</v>
      </c>
      <c r="FS20" s="36">
        <f t="shared" si="93"/>
        <v>0</v>
      </c>
      <c r="FT20" s="149">
        <f t="shared" si="94"/>
        <v>0</v>
      </c>
      <c r="FX20" s="36">
        <f t="shared" si="130"/>
        <v>14</v>
      </c>
      <c r="FY20" s="138">
        <f t="shared" si="95"/>
        <v>16</v>
      </c>
      <c r="FZ20" s="36">
        <f t="shared" si="96"/>
        <v>16</v>
      </c>
      <c r="GA20" s="36" t="str">
        <f t="shared" si="97"/>
        <v>VL</v>
      </c>
      <c r="GB20" s="36" t="str">
        <f t="shared" si="98"/>
        <v>VL</v>
      </c>
      <c r="GC20" s="36">
        <f t="shared" si="99"/>
        <v>12</v>
      </c>
      <c r="GD20" s="36">
        <f t="shared" si="100"/>
        <v>12</v>
      </c>
      <c r="GE20" s="36">
        <f t="shared" si="101"/>
        <v>0</v>
      </c>
      <c r="GF20" s="36">
        <f t="shared" si="102"/>
        <v>0</v>
      </c>
      <c r="GG20" s="36">
        <f t="shared" si="103"/>
        <v>0</v>
      </c>
      <c r="GH20" s="36">
        <f t="shared" si="104"/>
        <v>0</v>
      </c>
      <c r="GI20" s="36">
        <f t="shared" si="105"/>
        <v>0</v>
      </c>
      <c r="GJ20" s="36">
        <f t="shared" si="106"/>
        <v>0</v>
      </c>
      <c r="GK20" s="36">
        <f t="shared" si="107"/>
        <v>0</v>
      </c>
      <c r="GL20" s="36">
        <f t="shared" si="108"/>
        <v>0</v>
      </c>
      <c r="GM20" s="36">
        <f t="shared" si="109"/>
        <v>0</v>
      </c>
      <c r="GN20" s="36">
        <f t="shared" si="110"/>
        <v>0</v>
      </c>
      <c r="GO20" s="36">
        <f t="shared" si="111"/>
        <v>0</v>
      </c>
      <c r="GP20" s="36">
        <f t="shared" si="112"/>
        <v>0</v>
      </c>
      <c r="GQ20" s="36">
        <f t="shared" si="113"/>
        <v>0</v>
      </c>
      <c r="GR20" s="36">
        <f t="shared" si="114"/>
        <v>0</v>
      </c>
      <c r="GS20" s="36">
        <f t="shared" si="115"/>
        <v>0</v>
      </c>
      <c r="GT20" s="36">
        <f t="shared" si="116"/>
        <v>0</v>
      </c>
      <c r="GU20" s="36">
        <f t="shared" si="117"/>
        <v>0</v>
      </c>
      <c r="GV20" s="36">
        <f t="shared" si="118"/>
        <v>0</v>
      </c>
      <c r="GW20" s="36">
        <f t="shared" si="119"/>
        <v>0</v>
      </c>
      <c r="GX20" s="36">
        <f t="shared" si="120"/>
        <v>0</v>
      </c>
      <c r="GY20" s="149">
        <f t="shared" si="121"/>
        <v>0</v>
      </c>
      <c r="HD20" s="36">
        <f t="shared" si="131"/>
        <v>14</v>
      </c>
      <c r="HE20" s="36">
        <f t="shared" si="122"/>
        <v>0</v>
      </c>
      <c r="HF20" s="36">
        <f t="shared" si="123"/>
        <v>0</v>
      </c>
      <c r="HG20" s="36">
        <f t="shared" si="124"/>
        <v>0</v>
      </c>
      <c r="HK20" s="152"/>
      <c r="HM20" s="153"/>
      <c r="HQ20" s="159" t="str">
        <f t="shared" si="125"/>
        <v/>
      </c>
      <c r="HR20" s="160" t="str">
        <f t="shared" si="126"/>
        <v/>
      </c>
      <c r="HU20" s="36">
        <v>14</v>
      </c>
      <c r="HV20" s="36">
        <f t="shared" si="132"/>
        <v>14</v>
      </c>
      <c r="HW20" s="139">
        <v>14</v>
      </c>
      <c r="HX20" s="136">
        <v>14</v>
      </c>
      <c r="HY20" s="136">
        <v>12</v>
      </c>
      <c r="HZ20" s="136">
        <v>12</v>
      </c>
      <c r="IA20" s="136">
        <v>14</v>
      </c>
      <c r="IB20" s="136">
        <v>14</v>
      </c>
      <c r="IC20" s="136">
        <v>0</v>
      </c>
      <c r="ID20" s="136">
        <v>0</v>
      </c>
      <c r="IE20" s="136">
        <v>0</v>
      </c>
      <c r="IF20" s="136">
        <v>0</v>
      </c>
      <c r="IG20" s="136">
        <v>0</v>
      </c>
      <c r="IH20" s="136">
        <v>0</v>
      </c>
      <c r="II20" s="136">
        <v>0</v>
      </c>
      <c r="IJ20" s="136">
        <v>0</v>
      </c>
      <c r="IK20" s="136">
        <v>0</v>
      </c>
      <c r="IL20" s="136">
        <v>0</v>
      </c>
      <c r="IM20" s="136">
        <v>0</v>
      </c>
      <c r="IN20" s="136">
        <v>0</v>
      </c>
      <c r="IO20" s="136">
        <v>0</v>
      </c>
      <c r="IP20" s="136">
        <v>0</v>
      </c>
      <c r="IQ20" s="136">
        <v>0</v>
      </c>
      <c r="IR20" s="136">
        <v>0</v>
      </c>
      <c r="IS20" s="136">
        <v>0</v>
      </c>
      <c r="IT20" s="136">
        <v>0</v>
      </c>
      <c r="IU20" s="136">
        <v>0</v>
      </c>
      <c r="IV20" s="136">
        <v>0</v>
      </c>
      <c r="IW20" s="166">
        <v>0</v>
      </c>
      <c r="IY20" s="36">
        <f t="shared" si="127"/>
        <v>0</v>
      </c>
    </row>
    <row r="21" spans="1:267" ht="15.9" customHeight="1" x14ac:dyDescent="0.3">
      <c r="A21" s="104">
        <f t="shared" si="137"/>
        <v>15</v>
      </c>
      <c r="B21" s="99"/>
      <c r="C21" s="97"/>
      <c r="D21" s="96"/>
      <c r="E21" s="10"/>
      <c r="F21" s="9"/>
      <c r="G21" s="97"/>
      <c r="H21" s="98"/>
      <c r="I21" s="91"/>
      <c r="K21" s="67" t="str">
        <f>[1]List1!$C$121</f>
        <v>B přípravka žákyně</v>
      </c>
      <c r="L21" s="36" t="str">
        <f t="shared" si="11"/>
        <v/>
      </c>
      <c r="U21" s="36" t="str">
        <f t="shared" si="134"/>
        <v/>
      </c>
      <c r="V21" s="36" t="str">
        <f t="shared" si="12"/>
        <v/>
      </c>
      <c r="W21" s="36">
        <f t="shared" si="133"/>
        <v>0</v>
      </c>
      <c r="Z21" s="1">
        <f t="shared" si="135"/>
        <v>0</v>
      </c>
      <c r="AA21" s="1">
        <f t="shared" si="136"/>
        <v>0</v>
      </c>
      <c r="AB21" s="53" t="str">
        <f>[1]List1!$A$123</f>
        <v>ž-B příp</v>
      </c>
      <c r="AC21" t="str">
        <f t="shared" si="18"/>
        <v/>
      </c>
      <c r="AE21" s="36">
        <f t="shared" si="19"/>
        <v>0</v>
      </c>
      <c r="AF21" s="36">
        <f t="shared" si="20"/>
        <v>15</v>
      </c>
      <c r="AH21" s="36">
        <v>15</v>
      </c>
      <c r="AI21" s="138">
        <f t="shared" si="21"/>
        <v>15</v>
      </c>
      <c r="AJ21" s="36">
        <f>AF22</f>
        <v>16</v>
      </c>
      <c r="AK21" s="149">
        <f>AI19</f>
        <v>13</v>
      </c>
      <c r="AL21" s="36">
        <f t="shared" si="22"/>
        <v>15</v>
      </c>
      <c r="AM21" s="36">
        <f>AL22</f>
        <v>16</v>
      </c>
      <c r="AN21" s="149">
        <f>AL19</f>
        <v>13</v>
      </c>
      <c r="AO21" s="138">
        <f t="shared" si="24"/>
        <v>15</v>
      </c>
      <c r="AP21" s="36" t="str">
        <f>$AE$1</f>
        <v>VL</v>
      </c>
      <c r="AQ21" s="149">
        <f>AO7</f>
        <v>1</v>
      </c>
      <c r="AR21" s="36">
        <f t="shared" si="25"/>
        <v>15</v>
      </c>
      <c r="AS21" s="36" t="str">
        <f>$AE$1</f>
        <v>VL</v>
      </c>
      <c r="AT21" s="149">
        <f>AR7</f>
        <v>1</v>
      </c>
      <c r="AU21" s="138"/>
      <c r="AW21" s="149"/>
      <c r="AZ21" s="149"/>
      <c r="BA21" s="138"/>
      <c r="BC21" s="149"/>
      <c r="BG21" s="138"/>
      <c r="BH21" s="36"/>
      <c r="BI21" s="149"/>
      <c r="BJ21" s="138"/>
      <c r="BK21" s="36"/>
      <c r="BL21" s="36"/>
      <c r="BM21" s="138"/>
      <c r="BN21" s="36"/>
      <c r="BO21" s="149"/>
      <c r="BS21" s="138"/>
      <c r="BU21" s="149"/>
      <c r="BY21" s="138"/>
      <c r="CA21" s="149"/>
      <c r="CE21" s="138"/>
      <c r="CG21" s="149"/>
      <c r="CK21" s="138"/>
      <c r="CM21" s="149"/>
      <c r="CQ21" s="138"/>
      <c r="CS21" s="149"/>
      <c r="CW21" s="138"/>
      <c r="CY21" s="149"/>
      <c r="DC21" s="138"/>
      <c r="DE21" s="149"/>
      <c r="DI21" s="138"/>
      <c r="DK21" s="149"/>
      <c r="DN21" s="36">
        <f t="shared" si="128"/>
        <v>15</v>
      </c>
      <c r="DO21" s="138">
        <f t="shared" si="41"/>
        <v>15</v>
      </c>
      <c r="DP21" s="36">
        <f t="shared" si="42"/>
        <v>15</v>
      </c>
      <c r="DQ21" s="36">
        <f t="shared" si="43"/>
        <v>15</v>
      </c>
      <c r="DR21" s="36">
        <f t="shared" si="44"/>
        <v>15</v>
      </c>
      <c r="DS21" s="36">
        <f t="shared" si="45"/>
        <v>0</v>
      </c>
      <c r="DT21" s="36">
        <f t="shared" si="46"/>
        <v>0</v>
      </c>
      <c r="DU21" s="36">
        <f t="shared" si="47"/>
        <v>0</v>
      </c>
      <c r="DV21" s="36">
        <f t="shared" si="48"/>
        <v>0</v>
      </c>
      <c r="DW21" s="36">
        <f t="shared" si="49"/>
        <v>0</v>
      </c>
      <c r="DX21" s="36">
        <f t="shared" si="50"/>
        <v>0</v>
      </c>
      <c r="DY21" s="36">
        <f t="shared" si="51"/>
        <v>0</v>
      </c>
      <c r="DZ21" s="36">
        <f t="shared" si="52"/>
        <v>0</v>
      </c>
      <c r="EA21" s="36">
        <f t="shared" si="53"/>
        <v>0</v>
      </c>
      <c r="EB21" s="36">
        <f t="shared" si="54"/>
        <v>0</v>
      </c>
      <c r="EC21" s="36">
        <f t="shared" si="55"/>
        <v>0</v>
      </c>
      <c r="ED21" s="36">
        <f t="shared" si="56"/>
        <v>0</v>
      </c>
      <c r="EE21" s="36">
        <f t="shared" si="57"/>
        <v>0</v>
      </c>
      <c r="EF21" s="36">
        <f t="shared" si="58"/>
        <v>0</v>
      </c>
      <c r="EG21" s="36">
        <f t="shared" si="59"/>
        <v>0</v>
      </c>
      <c r="EH21" s="36">
        <f t="shared" si="60"/>
        <v>0</v>
      </c>
      <c r="EI21" s="36">
        <f t="shared" si="61"/>
        <v>0</v>
      </c>
      <c r="EJ21" s="36">
        <f t="shared" si="62"/>
        <v>0</v>
      </c>
      <c r="EK21" s="36">
        <f t="shared" si="63"/>
        <v>0</v>
      </c>
      <c r="EL21" s="36">
        <f t="shared" si="64"/>
        <v>0</v>
      </c>
      <c r="EM21" s="36">
        <f t="shared" si="65"/>
        <v>0</v>
      </c>
      <c r="EN21" s="36">
        <f t="shared" si="66"/>
        <v>0</v>
      </c>
      <c r="EO21" s="149">
        <f t="shared" si="67"/>
        <v>0</v>
      </c>
      <c r="ES21" s="36">
        <f t="shared" si="129"/>
        <v>15</v>
      </c>
      <c r="ET21" s="138">
        <f t="shared" si="68"/>
        <v>16</v>
      </c>
      <c r="EU21" s="36">
        <f t="shared" si="69"/>
        <v>16</v>
      </c>
      <c r="EV21" s="36" t="str">
        <f t="shared" si="70"/>
        <v>VL</v>
      </c>
      <c r="EW21" s="36" t="str">
        <f t="shared" si="71"/>
        <v>VL</v>
      </c>
      <c r="EX21" s="36">
        <f t="shared" si="72"/>
        <v>0</v>
      </c>
      <c r="EY21" s="36">
        <f t="shared" si="73"/>
        <v>0</v>
      </c>
      <c r="EZ21" s="36">
        <f t="shared" si="74"/>
        <v>0</v>
      </c>
      <c r="FA21" s="36">
        <f t="shared" si="75"/>
        <v>0</v>
      </c>
      <c r="FB21" s="36">
        <f t="shared" si="76"/>
        <v>0</v>
      </c>
      <c r="FC21" s="36">
        <f t="shared" si="77"/>
        <v>0</v>
      </c>
      <c r="FD21" s="36">
        <f t="shared" si="78"/>
        <v>0</v>
      </c>
      <c r="FE21" s="36">
        <f t="shared" si="79"/>
        <v>0</v>
      </c>
      <c r="FF21" s="36">
        <f t="shared" si="80"/>
        <v>0</v>
      </c>
      <c r="FG21" s="36">
        <f t="shared" si="81"/>
        <v>0</v>
      </c>
      <c r="FH21" s="36">
        <f t="shared" si="82"/>
        <v>0</v>
      </c>
      <c r="FI21" s="36">
        <f t="shared" si="83"/>
        <v>0</v>
      </c>
      <c r="FJ21" s="36">
        <f t="shared" si="84"/>
        <v>0</v>
      </c>
      <c r="FK21" s="36">
        <f t="shared" si="85"/>
        <v>0</v>
      </c>
      <c r="FL21" s="36">
        <f t="shared" si="86"/>
        <v>0</v>
      </c>
      <c r="FM21" s="36">
        <f t="shared" si="87"/>
        <v>0</v>
      </c>
      <c r="FN21" s="36">
        <f t="shared" si="88"/>
        <v>0</v>
      </c>
      <c r="FO21" s="36">
        <f t="shared" si="89"/>
        <v>0</v>
      </c>
      <c r="FP21" s="36">
        <f t="shared" si="90"/>
        <v>0</v>
      </c>
      <c r="FQ21" s="36">
        <f t="shared" si="91"/>
        <v>0</v>
      </c>
      <c r="FR21" s="36">
        <f t="shared" si="92"/>
        <v>0</v>
      </c>
      <c r="FS21" s="36">
        <f t="shared" si="93"/>
        <v>0</v>
      </c>
      <c r="FT21" s="149">
        <f t="shared" si="94"/>
        <v>0</v>
      </c>
      <c r="FX21" s="36">
        <f t="shared" si="130"/>
        <v>15</v>
      </c>
      <c r="FY21" s="138">
        <f t="shared" si="95"/>
        <v>13</v>
      </c>
      <c r="FZ21" s="36">
        <f t="shared" si="96"/>
        <v>13</v>
      </c>
      <c r="GA21" s="36">
        <f t="shared" si="97"/>
        <v>1</v>
      </c>
      <c r="GB21" s="36">
        <f t="shared" si="98"/>
        <v>1</v>
      </c>
      <c r="GC21" s="36">
        <f t="shared" si="99"/>
        <v>0</v>
      </c>
      <c r="GD21" s="36">
        <f t="shared" si="100"/>
        <v>0</v>
      </c>
      <c r="GE21" s="36">
        <f t="shared" si="101"/>
        <v>0</v>
      </c>
      <c r="GF21" s="36">
        <f t="shared" si="102"/>
        <v>0</v>
      </c>
      <c r="GG21" s="36">
        <f t="shared" si="103"/>
        <v>0</v>
      </c>
      <c r="GH21" s="36">
        <f t="shared" si="104"/>
        <v>0</v>
      </c>
      <c r="GI21" s="36">
        <f t="shared" si="105"/>
        <v>0</v>
      </c>
      <c r="GJ21" s="36">
        <f t="shared" si="106"/>
        <v>0</v>
      </c>
      <c r="GK21" s="36">
        <f t="shared" si="107"/>
        <v>0</v>
      </c>
      <c r="GL21" s="36">
        <f t="shared" si="108"/>
        <v>0</v>
      </c>
      <c r="GM21" s="36">
        <f t="shared" si="109"/>
        <v>0</v>
      </c>
      <c r="GN21" s="36">
        <f t="shared" si="110"/>
        <v>0</v>
      </c>
      <c r="GO21" s="36">
        <f t="shared" si="111"/>
        <v>0</v>
      </c>
      <c r="GP21" s="36">
        <f t="shared" si="112"/>
        <v>0</v>
      </c>
      <c r="GQ21" s="36">
        <f t="shared" si="113"/>
        <v>0</v>
      </c>
      <c r="GR21" s="36">
        <f t="shared" si="114"/>
        <v>0</v>
      </c>
      <c r="GS21" s="36">
        <f t="shared" si="115"/>
        <v>0</v>
      </c>
      <c r="GT21" s="36">
        <f t="shared" si="116"/>
        <v>0</v>
      </c>
      <c r="GU21" s="36">
        <f t="shared" si="117"/>
        <v>0</v>
      </c>
      <c r="GV21" s="36">
        <f t="shared" si="118"/>
        <v>0</v>
      </c>
      <c r="GW21" s="36">
        <f t="shared" si="119"/>
        <v>0</v>
      </c>
      <c r="GX21" s="36">
        <f t="shared" si="120"/>
        <v>0</v>
      </c>
      <c r="GY21" s="149">
        <f t="shared" si="121"/>
        <v>0</v>
      </c>
      <c r="HD21" s="36">
        <f t="shared" si="131"/>
        <v>15</v>
      </c>
      <c r="HE21" s="36">
        <f t="shared" si="122"/>
        <v>0</v>
      </c>
      <c r="HF21" s="36">
        <f t="shared" si="123"/>
        <v>0</v>
      </c>
      <c r="HG21" s="36">
        <f t="shared" si="124"/>
        <v>0</v>
      </c>
      <c r="HJ21" s="36">
        <f>HJ19+1</f>
        <v>8</v>
      </c>
      <c r="HK21" s="152" t="str">
        <f>IF(HE14=0,"",HE14)</f>
        <v/>
      </c>
      <c r="HL21" s="36" t="str">
        <f>IF(HF14=0,"",HF14)</f>
        <v/>
      </c>
      <c r="HM21" s="153" t="str">
        <f>IF(HG14=0,"",HG14)</f>
        <v/>
      </c>
      <c r="HQ21" s="159" t="str">
        <f t="shared" si="125"/>
        <v/>
      </c>
      <c r="HR21" s="160" t="str">
        <f t="shared" si="126"/>
        <v/>
      </c>
      <c r="HU21" s="36">
        <v>15</v>
      </c>
      <c r="HV21" s="36">
        <f t="shared" si="132"/>
        <v>15</v>
      </c>
      <c r="HW21" s="139">
        <v>15</v>
      </c>
      <c r="HX21" s="136">
        <v>15</v>
      </c>
      <c r="HY21" s="136">
        <v>13</v>
      </c>
      <c r="HZ21" s="136">
        <v>13</v>
      </c>
      <c r="IA21" s="136">
        <v>0</v>
      </c>
      <c r="IB21" s="136">
        <v>0</v>
      </c>
      <c r="IC21" s="136">
        <v>0</v>
      </c>
      <c r="ID21" s="136">
        <v>0</v>
      </c>
      <c r="IE21" s="136">
        <v>0</v>
      </c>
      <c r="IF21" s="136">
        <v>0</v>
      </c>
      <c r="IG21" s="136">
        <v>0</v>
      </c>
      <c r="IH21" s="136">
        <v>0</v>
      </c>
      <c r="II21" s="136">
        <v>0</v>
      </c>
      <c r="IJ21" s="136">
        <v>0</v>
      </c>
      <c r="IK21" s="136">
        <v>0</v>
      </c>
      <c r="IL21" s="136">
        <v>0</v>
      </c>
      <c r="IM21" s="136">
        <v>0</v>
      </c>
      <c r="IN21" s="136">
        <v>0</v>
      </c>
      <c r="IO21" s="136">
        <v>0</v>
      </c>
      <c r="IP21" s="136">
        <v>0</v>
      </c>
      <c r="IQ21" s="136">
        <v>0</v>
      </c>
      <c r="IR21" s="136">
        <v>0</v>
      </c>
      <c r="IS21" s="136">
        <v>0</v>
      </c>
      <c r="IT21" s="136">
        <v>0</v>
      </c>
      <c r="IU21" s="136">
        <v>0</v>
      </c>
      <c r="IV21" s="136">
        <v>0</v>
      </c>
      <c r="IW21" s="166">
        <v>0</v>
      </c>
      <c r="IY21" s="36">
        <f t="shared" si="127"/>
        <v>0</v>
      </c>
      <c r="JG21" s="271"/>
    </row>
    <row r="22" spans="1:267" ht="15.9" customHeight="1" thickBot="1" x14ac:dyDescent="0.35">
      <c r="A22" s="104">
        <f t="shared" si="137"/>
        <v>16</v>
      </c>
      <c r="B22" s="100"/>
      <c r="C22" s="101"/>
      <c r="D22" s="96"/>
      <c r="E22" s="10"/>
      <c r="F22" s="9"/>
      <c r="G22" s="102"/>
      <c r="H22" s="103"/>
      <c r="I22" s="91"/>
      <c r="K22" s="87" t="str">
        <f>[1]List1!$D$124</f>
        <v>C přípravka žákyně</v>
      </c>
      <c r="L22" s="81" t="str">
        <f t="shared" si="11"/>
        <v/>
      </c>
      <c r="W22" s="36">
        <f t="shared" si="133"/>
        <v>0</v>
      </c>
      <c r="Z22" s="1">
        <f t="shared" si="135"/>
        <v>0</v>
      </c>
      <c r="AA22" s="1">
        <f t="shared" si="136"/>
        <v>0</v>
      </c>
      <c r="AB22" s="53" t="str">
        <f>[1]List1!$C$123</f>
        <v>ž-C příp</v>
      </c>
      <c r="AC22" t="str">
        <f t="shared" si="18"/>
        <v/>
      </c>
      <c r="AE22" s="36">
        <f t="shared" si="19"/>
        <v>0</v>
      </c>
      <c r="AF22" s="36">
        <f>A22</f>
        <v>16</v>
      </c>
      <c r="AH22" s="143">
        <v>16</v>
      </c>
      <c r="AI22" s="142">
        <f t="shared" si="21"/>
        <v>16</v>
      </c>
      <c r="AJ22" s="83">
        <f>AF21</f>
        <v>15</v>
      </c>
      <c r="AK22" s="143">
        <f>AI20</f>
        <v>14</v>
      </c>
      <c r="AL22" s="36">
        <f>AF22</f>
        <v>16</v>
      </c>
      <c r="AM22" s="36">
        <f>AL21</f>
        <v>15</v>
      </c>
      <c r="AN22" s="143">
        <f>AL20</f>
        <v>14</v>
      </c>
      <c r="AO22" s="142"/>
      <c r="AP22" s="83"/>
      <c r="AQ22" s="149"/>
      <c r="AR22" s="83"/>
      <c r="AS22" s="83"/>
      <c r="AT22" s="83"/>
      <c r="AU22" s="142"/>
      <c r="AV22" s="83"/>
      <c r="AW22" s="149"/>
      <c r="AX22" s="83"/>
      <c r="AY22" s="83"/>
      <c r="AZ22" s="83"/>
      <c r="BA22" s="142"/>
      <c r="BB22" s="83"/>
      <c r="BC22" s="149"/>
      <c r="BF22" s="83"/>
      <c r="BG22" s="142"/>
      <c r="BH22" s="83"/>
      <c r="BI22" s="149"/>
      <c r="BJ22" s="142"/>
      <c r="BK22" s="83"/>
      <c r="BL22" s="83"/>
      <c r="BM22" s="142"/>
      <c r="BN22" s="83"/>
      <c r="BO22" s="149"/>
      <c r="BP22" s="83"/>
      <c r="BQ22" s="83"/>
      <c r="BR22" s="83"/>
      <c r="BS22" s="142"/>
      <c r="BT22" s="83"/>
      <c r="BU22" s="149"/>
      <c r="BX22" s="83"/>
      <c r="BY22" s="142"/>
      <c r="BZ22" s="83"/>
      <c r="CA22" s="149"/>
      <c r="CB22" s="83"/>
      <c r="CC22" s="83"/>
      <c r="CD22" s="83"/>
      <c r="CE22" s="142"/>
      <c r="CF22" s="83"/>
      <c r="CG22" s="149"/>
      <c r="CH22" s="83"/>
      <c r="CI22" s="83"/>
      <c r="CJ22" s="83"/>
      <c r="CK22" s="142"/>
      <c r="CL22" s="83"/>
      <c r="CM22" s="149"/>
      <c r="CO22" s="83"/>
      <c r="CP22" s="83"/>
      <c r="CQ22" s="142"/>
      <c r="CR22" s="83"/>
      <c r="CS22" s="143"/>
      <c r="CT22" s="83"/>
      <c r="CU22" s="83"/>
      <c r="CV22" s="83"/>
      <c r="CW22" s="142"/>
      <c r="CX22" s="83"/>
      <c r="CY22" s="143"/>
      <c r="CZ22" s="83"/>
      <c r="DA22" s="83"/>
      <c r="DB22" s="83"/>
      <c r="DC22" s="142"/>
      <c r="DD22" s="83"/>
      <c r="DE22" s="149"/>
      <c r="DH22" s="83"/>
      <c r="DI22" s="142"/>
      <c r="DJ22" s="83"/>
      <c r="DK22" s="149"/>
      <c r="DN22" s="83">
        <f t="shared" si="128"/>
        <v>16</v>
      </c>
      <c r="DO22" s="142">
        <f t="shared" si="41"/>
        <v>16</v>
      </c>
      <c r="DP22" s="83">
        <f t="shared" si="42"/>
        <v>16</v>
      </c>
      <c r="DQ22" s="83">
        <f t="shared" si="43"/>
        <v>0</v>
      </c>
      <c r="DR22" s="83">
        <f t="shared" si="44"/>
        <v>0</v>
      </c>
      <c r="DS22" s="83">
        <f t="shared" si="45"/>
        <v>0</v>
      </c>
      <c r="DT22" s="83">
        <f t="shared" si="46"/>
        <v>0</v>
      </c>
      <c r="DU22" s="83">
        <f t="shared" si="47"/>
        <v>0</v>
      </c>
      <c r="DV22" s="83">
        <f t="shared" si="48"/>
        <v>0</v>
      </c>
      <c r="DW22" s="83">
        <f t="shared" si="49"/>
        <v>0</v>
      </c>
      <c r="DX22" s="83">
        <f t="shared" si="50"/>
        <v>0</v>
      </c>
      <c r="DY22" s="83">
        <f t="shared" si="51"/>
        <v>0</v>
      </c>
      <c r="DZ22" s="83">
        <f t="shared" si="52"/>
        <v>0</v>
      </c>
      <c r="EA22" s="83">
        <f t="shared" si="53"/>
        <v>0</v>
      </c>
      <c r="EB22" s="83">
        <f t="shared" si="54"/>
        <v>0</v>
      </c>
      <c r="EC22" s="83">
        <f t="shared" si="55"/>
        <v>0</v>
      </c>
      <c r="ED22" s="83">
        <f t="shared" si="56"/>
        <v>0</v>
      </c>
      <c r="EE22" s="83">
        <f t="shared" si="57"/>
        <v>0</v>
      </c>
      <c r="EF22" s="83">
        <f t="shared" si="58"/>
        <v>0</v>
      </c>
      <c r="EG22" s="83">
        <f t="shared" si="59"/>
        <v>0</v>
      </c>
      <c r="EH22" s="83">
        <f t="shared" si="60"/>
        <v>0</v>
      </c>
      <c r="EI22" s="83">
        <f t="shared" si="61"/>
        <v>0</v>
      </c>
      <c r="EJ22" s="83">
        <f t="shared" si="62"/>
        <v>0</v>
      </c>
      <c r="EK22" s="83">
        <f t="shared" si="63"/>
        <v>0</v>
      </c>
      <c r="EL22" s="83">
        <f t="shared" si="64"/>
        <v>0</v>
      </c>
      <c r="EM22" s="83">
        <f t="shared" si="65"/>
        <v>0</v>
      </c>
      <c r="EN22" s="83">
        <f t="shared" si="66"/>
        <v>0</v>
      </c>
      <c r="EO22" s="143">
        <f t="shared" si="67"/>
        <v>0</v>
      </c>
      <c r="ES22" s="83">
        <f t="shared" si="129"/>
        <v>16</v>
      </c>
      <c r="ET22" s="142">
        <f t="shared" si="68"/>
        <v>15</v>
      </c>
      <c r="EU22" s="83">
        <f t="shared" si="69"/>
        <v>15</v>
      </c>
      <c r="EV22" s="83">
        <f t="shared" si="70"/>
        <v>0</v>
      </c>
      <c r="EW22" s="83">
        <f t="shared" si="71"/>
        <v>0</v>
      </c>
      <c r="EX22" s="83">
        <f t="shared" si="72"/>
        <v>0</v>
      </c>
      <c r="EY22" s="83">
        <f t="shared" si="73"/>
        <v>0</v>
      </c>
      <c r="EZ22" s="83">
        <f t="shared" si="74"/>
        <v>0</v>
      </c>
      <c r="FA22" s="83">
        <f t="shared" si="75"/>
        <v>0</v>
      </c>
      <c r="FB22" s="83">
        <f t="shared" si="76"/>
        <v>0</v>
      </c>
      <c r="FC22" s="83">
        <f t="shared" si="77"/>
        <v>0</v>
      </c>
      <c r="FD22" s="83">
        <f t="shared" si="78"/>
        <v>0</v>
      </c>
      <c r="FE22" s="83">
        <f t="shared" si="79"/>
        <v>0</v>
      </c>
      <c r="FF22" s="83">
        <f t="shared" si="80"/>
        <v>0</v>
      </c>
      <c r="FG22" s="83">
        <f t="shared" si="81"/>
        <v>0</v>
      </c>
      <c r="FH22" s="83">
        <f t="shared" si="82"/>
        <v>0</v>
      </c>
      <c r="FI22" s="83">
        <f t="shared" si="83"/>
        <v>0</v>
      </c>
      <c r="FJ22" s="83">
        <f t="shared" si="84"/>
        <v>0</v>
      </c>
      <c r="FK22" s="83">
        <f t="shared" si="85"/>
        <v>0</v>
      </c>
      <c r="FL22" s="83">
        <f t="shared" si="86"/>
        <v>0</v>
      </c>
      <c r="FM22" s="83">
        <f t="shared" si="87"/>
        <v>0</v>
      </c>
      <c r="FN22" s="83">
        <f t="shared" si="88"/>
        <v>0</v>
      </c>
      <c r="FO22" s="83">
        <f t="shared" si="89"/>
        <v>0</v>
      </c>
      <c r="FP22" s="83">
        <f t="shared" si="90"/>
        <v>0</v>
      </c>
      <c r="FQ22" s="83">
        <f t="shared" si="91"/>
        <v>0</v>
      </c>
      <c r="FR22" s="83">
        <f t="shared" si="92"/>
        <v>0</v>
      </c>
      <c r="FS22" s="83">
        <f t="shared" si="93"/>
        <v>0</v>
      </c>
      <c r="FT22" s="143">
        <f t="shared" si="94"/>
        <v>0</v>
      </c>
      <c r="FX22" s="83">
        <f t="shared" si="130"/>
        <v>16</v>
      </c>
      <c r="FY22" s="142">
        <f t="shared" si="95"/>
        <v>14</v>
      </c>
      <c r="FZ22" s="83">
        <f t="shared" si="96"/>
        <v>14</v>
      </c>
      <c r="GA22" s="83">
        <f t="shared" si="97"/>
        <v>0</v>
      </c>
      <c r="GB22" s="83">
        <f t="shared" si="98"/>
        <v>0</v>
      </c>
      <c r="GC22" s="83">
        <f t="shared" si="99"/>
        <v>0</v>
      </c>
      <c r="GD22" s="83">
        <f t="shared" si="100"/>
        <v>0</v>
      </c>
      <c r="GE22" s="83">
        <f t="shared" si="101"/>
        <v>0</v>
      </c>
      <c r="GF22" s="83">
        <f t="shared" si="102"/>
        <v>0</v>
      </c>
      <c r="GG22" s="83">
        <f t="shared" si="103"/>
        <v>0</v>
      </c>
      <c r="GH22" s="83">
        <f t="shared" si="104"/>
        <v>0</v>
      </c>
      <c r="GI22" s="83">
        <f t="shared" si="105"/>
        <v>0</v>
      </c>
      <c r="GJ22" s="83">
        <f t="shared" si="106"/>
        <v>0</v>
      </c>
      <c r="GK22" s="83">
        <f t="shared" si="107"/>
        <v>0</v>
      </c>
      <c r="GL22" s="83">
        <f t="shared" si="108"/>
        <v>0</v>
      </c>
      <c r="GM22" s="83">
        <f t="shared" si="109"/>
        <v>0</v>
      </c>
      <c r="GN22" s="83">
        <f t="shared" si="110"/>
        <v>0</v>
      </c>
      <c r="GO22" s="83">
        <f t="shared" si="111"/>
        <v>0</v>
      </c>
      <c r="GP22" s="83">
        <f t="shared" si="112"/>
        <v>0</v>
      </c>
      <c r="GQ22" s="83">
        <f t="shared" si="113"/>
        <v>0</v>
      </c>
      <c r="GR22" s="83">
        <f t="shared" si="114"/>
        <v>0</v>
      </c>
      <c r="GS22" s="83">
        <f t="shared" si="115"/>
        <v>0</v>
      </c>
      <c r="GT22" s="83">
        <f t="shared" si="116"/>
        <v>0</v>
      </c>
      <c r="GU22" s="83">
        <f t="shared" si="117"/>
        <v>0</v>
      </c>
      <c r="GV22" s="83">
        <f t="shared" si="118"/>
        <v>0</v>
      </c>
      <c r="GW22" s="83">
        <f t="shared" si="119"/>
        <v>0</v>
      </c>
      <c r="GX22" s="83">
        <f t="shared" si="120"/>
        <v>0</v>
      </c>
      <c r="GY22" s="143">
        <f t="shared" si="121"/>
        <v>0</v>
      </c>
      <c r="HD22" s="36">
        <f t="shared" si="131"/>
        <v>16</v>
      </c>
      <c r="HE22" s="36">
        <f t="shared" si="122"/>
        <v>0</v>
      </c>
      <c r="HF22" s="36">
        <f t="shared" si="123"/>
        <v>0</v>
      </c>
      <c r="HG22" s="36">
        <f t="shared" si="124"/>
        <v>0</v>
      </c>
      <c r="HK22" s="152"/>
      <c r="HM22" s="153"/>
      <c r="HQ22" s="159" t="str">
        <f t="shared" si="125"/>
        <v/>
      </c>
      <c r="HR22" s="160" t="str">
        <f t="shared" si="126"/>
        <v/>
      </c>
      <c r="HU22" s="83">
        <v>16</v>
      </c>
      <c r="HV22" s="83">
        <f t="shared" si="132"/>
        <v>16</v>
      </c>
      <c r="HW22" s="167">
        <v>16</v>
      </c>
      <c r="HX22" s="168">
        <v>16</v>
      </c>
      <c r="HY22" s="168">
        <v>0</v>
      </c>
      <c r="HZ22" s="168">
        <v>0</v>
      </c>
      <c r="IA22" s="168">
        <v>0</v>
      </c>
      <c r="IB22" s="168">
        <v>0</v>
      </c>
      <c r="IC22" s="168">
        <v>0</v>
      </c>
      <c r="ID22" s="168">
        <v>0</v>
      </c>
      <c r="IE22" s="168">
        <v>0</v>
      </c>
      <c r="IF22" s="168">
        <v>0</v>
      </c>
      <c r="IG22" s="168">
        <v>0</v>
      </c>
      <c r="IH22" s="168">
        <v>0</v>
      </c>
      <c r="II22" s="168">
        <v>0</v>
      </c>
      <c r="IJ22" s="168">
        <v>0</v>
      </c>
      <c r="IK22" s="168">
        <v>0</v>
      </c>
      <c r="IL22" s="168">
        <v>0</v>
      </c>
      <c r="IM22" s="168">
        <v>0</v>
      </c>
      <c r="IN22" s="168">
        <v>0</v>
      </c>
      <c r="IO22" s="168">
        <v>0</v>
      </c>
      <c r="IP22" s="168">
        <v>0</v>
      </c>
      <c r="IQ22" s="168">
        <v>0</v>
      </c>
      <c r="IR22" s="168">
        <v>0</v>
      </c>
      <c r="IS22" s="168">
        <v>0</v>
      </c>
      <c r="IT22" s="168">
        <v>0</v>
      </c>
      <c r="IU22" s="168">
        <v>0</v>
      </c>
      <c r="IV22" s="168">
        <v>0</v>
      </c>
      <c r="IW22" s="169">
        <v>0</v>
      </c>
      <c r="IY22" s="36">
        <f t="shared" si="127"/>
        <v>0</v>
      </c>
    </row>
    <row r="23" spans="1:267" ht="15.9" hidden="1" customHeight="1" thickTop="1" x14ac:dyDescent="0.3">
      <c r="A23" s="104">
        <f t="shared" si="137"/>
        <v>17</v>
      </c>
      <c r="B23" s="99"/>
      <c r="C23" s="97"/>
      <c r="D23" s="96"/>
      <c r="E23" s="10"/>
      <c r="F23" s="9"/>
      <c r="G23" s="97"/>
      <c r="H23" s="98"/>
      <c r="I23" s="91"/>
      <c r="K23" s="67" t="str">
        <f>T25</f>
        <v>výsledky</v>
      </c>
      <c r="L23" s="67" t="str">
        <f>U25</f>
        <v>OK</v>
      </c>
      <c r="T23" s="53" t="str">
        <f>[1]List1!$A$27</f>
        <v>výsledky</v>
      </c>
      <c r="U23" s="36">
        <f>SUM(U7:U21)</f>
        <v>20</v>
      </c>
      <c r="V23" s="36">
        <f>SUM(V15:V21)</f>
        <v>0</v>
      </c>
      <c r="W23" s="36">
        <f>SUM(W7:W22)</f>
        <v>1</v>
      </c>
      <c r="X23" s="67" t="str">
        <f>[1]List1!$A$194</f>
        <v>čas utkání</v>
      </c>
      <c r="Y23" s="67" t="str">
        <f>IF(W23=0,T8,T7)</f>
        <v>120 sek</v>
      </c>
      <c r="Z23" s="36">
        <f>SUM(Z7:Z22)</f>
        <v>1</v>
      </c>
      <c r="AA23" s="36">
        <f>SUM(AA15:AA22)</f>
        <v>0</v>
      </c>
      <c r="AE23" s="36">
        <f t="shared" si="19"/>
        <v>0</v>
      </c>
      <c r="AF23" s="36">
        <f>A23</f>
        <v>17</v>
      </c>
      <c r="AH23" s="141">
        <v>1</v>
      </c>
      <c r="AI23" s="140">
        <f t="shared" si="21"/>
        <v>17</v>
      </c>
      <c r="AJ23" s="85">
        <f>AF24</f>
        <v>18</v>
      </c>
      <c r="AK23" s="141">
        <f>AI25</f>
        <v>19</v>
      </c>
      <c r="AL23" s="85">
        <f>AF23</f>
        <v>17</v>
      </c>
      <c r="AM23" s="85">
        <f>AL24</f>
        <v>18</v>
      </c>
      <c r="AN23" s="141">
        <f>AL37</f>
        <v>31</v>
      </c>
      <c r="AO23" s="140">
        <f>AF22</f>
        <v>16</v>
      </c>
      <c r="AP23" s="85">
        <f>AO24</f>
        <v>17</v>
      </c>
      <c r="AQ23" s="141">
        <f>AO37</f>
        <v>30</v>
      </c>
      <c r="AR23" s="85">
        <f>AF22</f>
        <v>16</v>
      </c>
      <c r="AS23" s="85">
        <f>AR24</f>
        <v>17</v>
      </c>
      <c r="AT23" s="141">
        <f>AR25</f>
        <v>18</v>
      </c>
      <c r="AU23" s="140">
        <f>AF21</f>
        <v>15</v>
      </c>
      <c r="AV23" s="85">
        <f>AU24</f>
        <v>16</v>
      </c>
      <c r="AW23" s="141">
        <f>AU25</f>
        <v>17</v>
      </c>
      <c r="AX23" s="85">
        <f>AF21</f>
        <v>15</v>
      </c>
      <c r="AY23" s="85">
        <f>AX24</f>
        <v>16</v>
      </c>
      <c r="AZ23" s="141">
        <f>AX35</f>
        <v>27</v>
      </c>
      <c r="BA23" s="140">
        <f>AF20</f>
        <v>14</v>
      </c>
      <c r="BB23" s="85">
        <f>BA24</f>
        <v>15</v>
      </c>
      <c r="BC23" s="141">
        <f>BA35</f>
        <v>26</v>
      </c>
      <c r="BD23" s="85">
        <f>AF20</f>
        <v>14</v>
      </c>
      <c r="BE23" s="85">
        <f>BD24</f>
        <v>15</v>
      </c>
      <c r="BF23" s="85">
        <f>BD25</f>
        <v>16</v>
      </c>
      <c r="BG23" s="140">
        <f>AF19</f>
        <v>13</v>
      </c>
      <c r="BH23" s="85">
        <f>BG24</f>
        <v>14</v>
      </c>
      <c r="BI23" s="141">
        <f>BG25</f>
        <v>15</v>
      </c>
      <c r="BJ23" s="140">
        <f>AF19</f>
        <v>13</v>
      </c>
      <c r="BK23" s="85">
        <f>BJ24</f>
        <v>14</v>
      </c>
      <c r="BL23" s="141">
        <f>BJ33</f>
        <v>23</v>
      </c>
      <c r="BM23" s="140">
        <f>AF18</f>
        <v>12</v>
      </c>
      <c r="BN23" s="85">
        <f>BM24</f>
        <v>13</v>
      </c>
      <c r="BO23" s="141">
        <f>BM33</f>
        <v>22</v>
      </c>
      <c r="BP23" s="85">
        <f>AF18</f>
        <v>12</v>
      </c>
      <c r="BQ23" s="85">
        <f>BP24</f>
        <v>13</v>
      </c>
      <c r="BR23" s="141">
        <f>BP25</f>
        <v>14</v>
      </c>
      <c r="BS23" s="140">
        <f>AF17</f>
        <v>11</v>
      </c>
      <c r="BT23" s="85">
        <f>BS24</f>
        <v>12</v>
      </c>
      <c r="BU23" s="141">
        <f>BS25</f>
        <v>13</v>
      </c>
      <c r="BV23" s="85">
        <f>AF17</f>
        <v>11</v>
      </c>
      <c r="BW23" s="85">
        <f>BV24</f>
        <v>12</v>
      </c>
      <c r="BX23" s="141">
        <f>BV31</f>
        <v>19</v>
      </c>
      <c r="BY23" s="140">
        <f>AF16</f>
        <v>10</v>
      </c>
      <c r="BZ23" s="85">
        <f>BY24</f>
        <v>11</v>
      </c>
      <c r="CA23" s="141">
        <f>BY31</f>
        <v>18</v>
      </c>
      <c r="CB23" s="85">
        <f>AF16</f>
        <v>10</v>
      </c>
      <c r="CC23" s="85">
        <f>CB24</f>
        <v>11</v>
      </c>
      <c r="CD23" s="141">
        <f>CB25</f>
        <v>12</v>
      </c>
      <c r="CE23" s="140">
        <f>AF15</f>
        <v>9</v>
      </c>
      <c r="CF23" s="85">
        <f>CE24</f>
        <v>10</v>
      </c>
      <c r="CG23" s="141">
        <f>CE25</f>
        <v>11</v>
      </c>
      <c r="CH23" s="140">
        <f>AF15</f>
        <v>9</v>
      </c>
      <c r="CI23" s="85">
        <f>CH24</f>
        <v>10</v>
      </c>
      <c r="CJ23" s="141">
        <f>CH29</f>
        <v>15</v>
      </c>
      <c r="CK23" s="140">
        <f t="shared" ref="CK23:CK29" si="138">AF14</f>
        <v>8</v>
      </c>
      <c r="CL23" s="85">
        <f>CK24</f>
        <v>9</v>
      </c>
      <c r="CM23" s="141">
        <f>CK29</f>
        <v>14</v>
      </c>
      <c r="CN23" s="140">
        <f t="shared" ref="CN23:CN28" si="139">AF14</f>
        <v>8</v>
      </c>
      <c r="CO23" s="85">
        <f>CN24</f>
        <v>9</v>
      </c>
      <c r="CP23" s="141">
        <f>CN25</f>
        <v>10</v>
      </c>
      <c r="CQ23" s="140">
        <f t="shared" ref="CQ23:CQ28" si="140">AF13</f>
        <v>7</v>
      </c>
      <c r="CR23" s="36">
        <f>CQ24</f>
        <v>8</v>
      </c>
      <c r="CS23" s="141">
        <f>CQ25</f>
        <v>9</v>
      </c>
      <c r="CT23" s="85">
        <f>AF13</f>
        <v>7</v>
      </c>
      <c r="CU23" s="36">
        <f>CT24</f>
        <v>8</v>
      </c>
      <c r="CV23" s="36">
        <f>CT27</f>
        <v>11</v>
      </c>
      <c r="CW23" s="140">
        <f>AF12</f>
        <v>6</v>
      </c>
      <c r="CX23" s="36">
        <f>CW24</f>
        <v>7</v>
      </c>
      <c r="CY23" s="141">
        <f>CW27</f>
        <v>10</v>
      </c>
      <c r="CZ23" s="140">
        <f>AF12</f>
        <v>6</v>
      </c>
      <c r="DA23" s="36">
        <f>CZ24</f>
        <v>7</v>
      </c>
      <c r="DB23" s="36">
        <f>CZ25</f>
        <v>8</v>
      </c>
      <c r="DC23" s="140">
        <f>AF11</f>
        <v>5</v>
      </c>
      <c r="DD23" s="36">
        <f>DC24</f>
        <v>6</v>
      </c>
      <c r="DE23" s="141">
        <f>DC25</f>
        <v>7</v>
      </c>
      <c r="DF23" s="140">
        <f>AF11</f>
        <v>5</v>
      </c>
      <c r="DG23" s="85">
        <f>DF24</f>
        <v>6</v>
      </c>
      <c r="DH23" s="141">
        <f>DF25</f>
        <v>7</v>
      </c>
      <c r="DI23" s="140">
        <f>AF10</f>
        <v>4</v>
      </c>
      <c r="DJ23" s="85">
        <f>DI24</f>
        <v>5</v>
      </c>
      <c r="DK23" s="141">
        <f>DI25</f>
        <v>6</v>
      </c>
      <c r="DN23" s="85">
        <f t="shared" si="128"/>
        <v>17</v>
      </c>
      <c r="DO23" s="140">
        <f t="shared" si="41"/>
        <v>17</v>
      </c>
      <c r="DP23" s="85">
        <f t="shared" si="42"/>
        <v>17</v>
      </c>
      <c r="DQ23" s="85">
        <f t="shared" si="43"/>
        <v>16</v>
      </c>
      <c r="DR23" s="85">
        <f t="shared" si="44"/>
        <v>16</v>
      </c>
      <c r="DS23" s="85">
        <f t="shared" si="45"/>
        <v>15</v>
      </c>
      <c r="DT23" s="85">
        <f t="shared" si="46"/>
        <v>15</v>
      </c>
      <c r="DU23" s="85">
        <f t="shared" si="47"/>
        <v>14</v>
      </c>
      <c r="DV23" s="85">
        <f t="shared" si="48"/>
        <v>14</v>
      </c>
      <c r="DW23" s="85">
        <f t="shared" si="49"/>
        <v>13</v>
      </c>
      <c r="DX23" s="85">
        <f t="shared" si="50"/>
        <v>13</v>
      </c>
      <c r="DY23" s="85">
        <f t="shared" si="51"/>
        <v>12</v>
      </c>
      <c r="DZ23" s="85">
        <f t="shared" si="52"/>
        <v>12</v>
      </c>
      <c r="EA23" s="85">
        <f t="shared" si="53"/>
        <v>11</v>
      </c>
      <c r="EB23" s="85">
        <f t="shared" si="54"/>
        <v>11</v>
      </c>
      <c r="EC23" s="85">
        <f t="shared" si="55"/>
        <v>10</v>
      </c>
      <c r="ED23" s="85">
        <f t="shared" si="56"/>
        <v>10</v>
      </c>
      <c r="EE23" s="85">
        <f t="shared" si="57"/>
        <v>9</v>
      </c>
      <c r="EF23" s="85">
        <f t="shared" si="58"/>
        <v>9</v>
      </c>
      <c r="EG23" s="85">
        <f t="shared" si="59"/>
        <v>8</v>
      </c>
      <c r="EH23" s="85">
        <f t="shared" si="60"/>
        <v>8</v>
      </c>
      <c r="EI23" s="85">
        <f t="shared" si="61"/>
        <v>7</v>
      </c>
      <c r="EJ23" s="85">
        <f t="shared" si="62"/>
        <v>7</v>
      </c>
      <c r="EK23" s="85">
        <f t="shared" si="63"/>
        <v>6</v>
      </c>
      <c r="EL23" s="85">
        <f t="shared" si="64"/>
        <v>6</v>
      </c>
      <c r="EM23" s="85">
        <f t="shared" si="65"/>
        <v>5</v>
      </c>
      <c r="EN23" s="85">
        <f t="shared" si="66"/>
        <v>5</v>
      </c>
      <c r="EO23" s="141">
        <f t="shared" si="67"/>
        <v>4</v>
      </c>
      <c r="ES23" s="85">
        <f t="shared" si="129"/>
        <v>17</v>
      </c>
      <c r="ET23" s="140">
        <f t="shared" si="68"/>
        <v>18</v>
      </c>
      <c r="EU23" s="85">
        <f t="shared" si="69"/>
        <v>18</v>
      </c>
      <c r="EV23" s="85">
        <f t="shared" si="70"/>
        <v>17</v>
      </c>
      <c r="EW23" s="85">
        <f t="shared" si="71"/>
        <v>17</v>
      </c>
      <c r="EX23" s="85">
        <f t="shared" si="72"/>
        <v>16</v>
      </c>
      <c r="EY23" s="85">
        <f t="shared" si="73"/>
        <v>16</v>
      </c>
      <c r="EZ23" s="85">
        <f t="shared" si="74"/>
        <v>15</v>
      </c>
      <c r="FA23" s="85">
        <f t="shared" si="75"/>
        <v>15</v>
      </c>
      <c r="FB23" s="85">
        <f t="shared" si="76"/>
        <v>14</v>
      </c>
      <c r="FC23" s="85">
        <f t="shared" si="77"/>
        <v>14</v>
      </c>
      <c r="FD23" s="85">
        <f t="shared" si="78"/>
        <v>13</v>
      </c>
      <c r="FE23" s="85">
        <f t="shared" si="79"/>
        <v>13</v>
      </c>
      <c r="FF23" s="85">
        <f t="shared" si="80"/>
        <v>12</v>
      </c>
      <c r="FG23" s="85">
        <f t="shared" si="81"/>
        <v>12</v>
      </c>
      <c r="FH23" s="85">
        <f t="shared" si="82"/>
        <v>11</v>
      </c>
      <c r="FI23" s="85">
        <f t="shared" si="83"/>
        <v>11</v>
      </c>
      <c r="FJ23" s="85">
        <f t="shared" si="84"/>
        <v>10</v>
      </c>
      <c r="FK23" s="85">
        <f t="shared" si="85"/>
        <v>10</v>
      </c>
      <c r="FL23" s="85">
        <f t="shared" si="86"/>
        <v>9</v>
      </c>
      <c r="FM23" s="85">
        <f t="shared" si="87"/>
        <v>9</v>
      </c>
      <c r="FN23" s="85">
        <f t="shared" si="88"/>
        <v>8</v>
      </c>
      <c r="FO23" s="85">
        <f t="shared" si="89"/>
        <v>8</v>
      </c>
      <c r="FP23" s="85">
        <f t="shared" si="90"/>
        <v>7</v>
      </c>
      <c r="FQ23" s="85">
        <f t="shared" si="91"/>
        <v>7</v>
      </c>
      <c r="FR23" s="85">
        <f t="shared" si="92"/>
        <v>6</v>
      </c>
      <c r="FS23" s="85">
        <f t="shared" si="93"/>
        <v>6</v>
      </c>
      <c r="FT23" s="141">
        <f t="shared" si="94"/>
        <v>5</v>
      </c>
      <c r="FX23" s="85">
        <f t="shared" si="130"/>
        <v>17</v>
      </c>
      <c r="FY23" s="140">
        <f t="shared" si="95"/>
        <v>19</v>
      </c>
      <c r="FZ23" s="85">
        <f t="shared" si="96"/>
        <v>31</v>
      </c>
      <c r="GA23" s="85">
        <f t="shared" si="97"/>
        <v>30</v>
      </c>
      <c r="GB23" s="85">
        <f t="shared" si="98"/>
        <v>18</v>
      </c>
      <c r="GC23" s="85">
        <f t="shared" si="99"/>
        <v>17</v>
      </c>
      <c r="GD23" s="85">
        <f t="shared" si="100"/>
        <v>27</v>
      </c>
      <c r="GE23" s="85">
        <f t="shared" si="101"/>
        <v>26</v>
      </c>
      <c r="GF23" s="85">
        <f t="shared" si="102"/>
        <v>16</v>
      </c>
      <c r="GG23" s="85">
        <f t="shared" si="103"/>
        <v>15</v>
      </c>
      <c r="GH23" s="85">
        <f t="shared" si="104"/>
        <v>23</v>
      </c>
      <c r="GI23" s="85">
        <f t="shared" si="105"/>
        <v>22</v>
      </c>
      <c r="GJ23" s="85">
        <f t="shared" si="106"/>
        <v>14</v>
      </c>
      <c r="GK23" s="85">
        <f t="shared" si="107"/>
        <v>13</v>
      </c>
      <c r="GL23" s="85">
        <f t="shared" si="108"/>
        <v>19</v>
      </c>
      <c r="GM23" s="85">
        <f t="shared" si="109"/>
        <v>18</v>
      </c>
      <c r="GN23" s="85">
        <f t="shared" si="110"/>
        <v>12</v>
      </c>
      <c r="GO23" s="85">
        <f t="shared" si="111"/>
        <v>11</v>
      </c>
      <c r="GP23" s="85">
        <f t="shared" si="112"/>
        <v>15</v>
      </c>
      <c r="GQ23" s="85">
        <f t="shared" si="113"/>
        <v>14</v>
      </c>
      <c r="GR23" s="85">
        <f t="shared" si="114"/>
        <v>10</v>
      </c>
      <c r="GS23" s="85">
        <f t="shared" si="115"/>
        <v>9</v>
      </c>
      <c r="GT23" s="85">
        <f t="shared" si="116"/>
        <v>11</v>
      </c>
      <c r="GU23" s="85">
        <f t="shared" si="117"/>
        <v>10</v>
      </c>
      <c r="GV23" s="85">
        <f t="shared" si="118"/>
        <v>8</v>
      </c>
      <c r="GW23" s="85">
        <f t="shared" si="119"/>
        <v>7</v>
      </c>
      <c r="GX23" s="85">
        <f t="shared" si="120"/>
        <v>7</v>
      </c>
      <c r="GY23" s="141">
        <f t="shared" si="121"/>
        <v>6</v>
      </c>
      <c r="HD23" s="36">
        <f t="shared" si="131"/>
        <v>17</v>
      </c>
      <c r="HE23" s="36">
        <f t="shared" si="122"/>
        <v>4</v>
      </c>
      <c r="HF23" s="36">
        <f t="shared" si="123"/>
        <v>5</v>
      </c>
      <c r="HG23" s="36">
        <f t="shared" si="124"/>
        <v>6</v>
      </c>
      <c r="HJ23" s="36">
        <f>HJ21+1</f>
        <v>9</v>
      </c>
      <c r="HK23" s="152" t="str">
        <f>IF(HE15=0,"",HE15)</f>
        <v/>
      </c>
      <c r="HL23" s="36" t="str">
        <f>IF(HF15=0,"",HF15)</f>
        <v/>
      </c>
      <c r="HM23" s="153" t="str">
        <f>IF(HG15=0,"",HG15)</f>
        <v/>
      </c>
      <c r="HQ23" s="159" t="str">
        <f t="shared" si="125"/>
        <v/>
      </c>
      <c r="HR23" s="160" t="str">
        <f t="shared" si="126"/>
        <v/>
      </c>
      <c r="HU23" s="85">
        <v>1</v>
      </c>
      <c r="HV23" s="85">
        <f t="shared" si="132"/>
        <v>17</v>
      </c>
      <c r="HW23" s="140">
        <v>17</v>
      </c>
      <c r="HX23" s="85">
        <v>30</v>
      </c>
      <c r="HY23" s="85">
        <v>29</v>
      </c>
      <c r="HZ23" s="85">
        <v>16</v>
      </c>
      <c r="IA23" s="85">
        <v>15</v>
      </c>
      <c r="IB23" s="85">
        <v>26</v>
      </c>
      <c r="IC23" s="85">
        <v>25</v>
      </c>
      <c r="ID23" s="85">
        <v>14</v>
      </c>
      <c r="IE23" s="85">
        <v>13</v>
      </c>
      <c r="IF23" s="85">
        <v>22</v>
      </c>
      <c r="IG23" s="85">
        <v>21</v>
      </c>
      <c r="IH23" s="85">
        <v>12</v>
      </c>
      <c r="II23" s="85">
        <v>11</v>
      </c>
      <c r="IJ23" s="85">
        <v>18</v>
      </c>
      <c r="IK23" s="85">
        <v>17</v>
      </c>
      <c r="IL23" s="85">
        <v>10</v>
      </c>
      <c r="IM23" s="85">
        <v>9</v>
      </c>
      <c r="IN23" s="85">
        <v>14</v>
      </c>
      <c r="IO23" s="85">
        <v>13</v>
      </c>
      <c r="IP23" s="85">
        <v>8</v>
      </c>
      <c r="IQ23" s="85">
        <v>7</v>
      </c>
      <c r="IR23" s="85">
        <v>10</v>
      </c>
      <c r="IS23" s="85">
        <v>9</v>
      </c>
      <c r="IT23" s="85">
        <v>6</v>
      </c>
      <c r="IU23" s="85">
        <v>5</v>
      </c>
      <c r="IV23" s="85">
        <v>6</v>
      </c>
      <c r="IW23" s="141">
        <v>5</v>
      </c>
      <c r="IY23" s="36">
        <f t="shared" si="127"/>
        <v>2</v>
      </c>
    </row>
    <row r="24" spans="1:267" ht="15.9" hidden="1" customHeight="1" x14ac:dyDescent="0.3">
      <c r="A24" s="104">
        <f t="shared" si="137"/>
        <v>18</v>
      </c>
      <c r="B24" s="99"/>
      <c r="C24" s="97"/>
      <c r="D24" s="96"/>
      <c r="E24" s="10"/>
      <c r="F24" s="9"/>
      <c r="G24" s="97"/>
      <c r="H24" s="98"/>
      <c r="I24" s="91"/>
      <c r="AE24" s="36">
        <f t="shared" si="19"/>
        <v>0</v>
      </c>
      <c r="AF24" s="36">
        <f>A24</f>
        <v>18</v>
      </c>
      <c r="AH24" s="36">
        <v>2</v>
      </c>
      <c r="AI24" s="138">
        <f t="shared" si="21"/>
        <v>18</v>
      </c>
      <c r="AJ24" s="36">
        <f>AF23</f>
        <v>17</v>
      </c>
      <c r="AK24" s="149">
        <f>AI26</f>
        <v>20</v>
      </c>
      <c r="AL24" s="36">
        <f>AF24</f>
        <v>18</v>
      </c>
      <c r="AM24" s="36">
        <f>AL23</f>
        <v>17</v>
      </c>
      <c r="AN24" s="149">
        <f>AL25</f>
        <v>19</v>
      </c>
      <c r="AO24" s="138">
        <f>AF23</f>
        <v>17</v>
      </c>
      <c r="AP24" s="36">
        <f>AO23</f>
        <v>16</v>
      </c>
      <c r="AQ24" s="149">
        <f>AO25</f>
        <v>18</v>
      </c>
      <c r="AR24" s="36">
        <f>AF23</f>
        <v>17</v>
      </c>
      <c r="AS24" s="36">
        <f>AR23</f>
        <v>16</v>
      </c>
      <c r="AT24" s="149">
        <f>AR26</f>
        <v>19</v>
      </c>
      <c r="AU24" s="138">
        <f>AF22</f>
        <v>16</v>
      </c>
      <c r="AV24" s="36">
        <f>AU23</f>
        <v>15</v>
      </c>
      <c r="AW24" s="149">
        <f>AU26</f>
        <v>18</v>
      </c>
      <c r="AX24" s="36">
        <f>AF22</f>
        <v>16</v>
      </c>
      <c r="AY24" s="36">
        <f>AX23</f>
        <v>15</v>
      </c>
      <c r="AZ24" s="149">
        <f>AX25</f>
        <v>17</v>
      </c>
      <c r="BA24" s="138">
        <f>AF21</f>
        <v>15</v>
      </c>
      <c r="BB24" s="36">
        <f>BA23</f>
        <v>14</v>
      </c>
      <c r="BC24" s="149">
        <f>BA25</f>
        <v>16</v>
      </c>
      <c r="BD24" s="36">
        <f>AF21</f>
        <v>15</v>
      </c>
      <c r="BE24" s="36">
        <f>BD23</f>
        <v>14</v>
      </c>
      <c r="BF24" s="36">
        <f>BD26</f>
        <v>17</v>
      </c>
      <c r="BG24" s="138">
        <f>AF20</f>
        <v>14</v>
      </c>
      <c r="BH24" s="36">
        <f>BG23</f>
        <v>13</v>
      </c>
      <c r="BI24" s="149">
        <f>BG26</f>
        <v>16</v>
      </c>
      <c r="BJ24" s="138">
        <f>AF20</f>
        <v>14</v>
      </c>
      <c r="BK24" s="36">
        <f>BJ23</f>
        <v>13</v>
      </c>
      <c r="BL24" s="149">
        <f>BJ25</f>
        <v>15</v>
      </c>
      <c r="BM24" s="138">
        <f>AF19</f>
        <v>13</v>
      </c>
      <c r="BN24" s="36">
        <f>BM23</f>
        <v>12</v>
      </c>
      <c r="BO24" s="149">
        <f>BM25</f>
        <v>14</v>
      </c>
      <c r="BP24" s="36">
        <f>AF19</f>
        <v>13</v>
      </c>
      <c r="BQ24" s="36">
        <f>BP23</f>
        <v>12</v>
      </c>
      <c r="BR24" s="149">
        <f>BP26</f>
        <v>15</v>
      </c>
      <c r="BS24" s="138">
        <f>AF18</f>
        <v>12</v>
      </c>
      <c r="BT24" s="36">
        <f>BS23</f>
        <v>11</v>
      </c>
      <c r="BU24" s="149">
        <f>BS26</f>
        <v>14</v>
      </c>
      <c r="BV24" s="36">
        <f>AF18</f>
        <v>12</v>
      </c>
      <c r="BW24" s="36">
        <f>BV23</f>
        <v>11</v>
      </c>
      <c r="BX24" s="149">
        <f>BV25</f>
        <v>13</v>
      </c>
      <c r="BY24" s="138">
        <f>AF17</f>
        <v>11</v>
      </c>
      <c r="BZ24" s="36">
        <f>BY23</f>
        <v>10</v>
      </c>
      <c r="CA24" s="149">
        <f>BY25</f>
        <v>12</v>
      </c>
      <c r="CB24" s="36">
        <f>AF17</f>
        <v>11</v>
      </c>
      <c r="CC24" s="36">
        <f>CB23</f>
        <v>10</v>
      </c>
      <c r="CD24" s="149">
        <f>CB26</f>
        <v>13</v>
      </c>
      <c r="CE24" s="138">
        <f>AF16</f>
        <v>10</v>
      </c>
      <c r="CF24" s="36">
        <f>CE23</f>
        <v>9</v>
      </c>
      <c r="CG24" s="149">
        <f>CE26</f>
        <v>12</v>
      </c>
      <c r="CH24" s="138">
        <f t="shared" ref="CH24:CH29" si="141">AF16</f>
        <v>10</v>
      </c>
      <c r="CI24" s="36">
        <f>CH23</f>
        <v>9</v>
      </c>
      <c r="CJ24" s="149">
        <f>CH25</f>
        <v>11</v>
      </c>
      <c r="CK24" s="138">
        <f t="shared" si="138"/>
        <v>9</v>
      </c>
      <c r="CL24" s="36">
        <f>CK23</f>
        <v>8</v>
      </c>
      <c r="CM24" s="149">
        <f>CK25</f>
        <v>10</v>
      </c>
      <c r="CN24" s="138">
        <f t="shared" si="139"/>
        <v>9</v>
      </c>
      <c r="CO24" s="36">
        <f>CN23</f>
        <v>8</v>
      </c>
      <c r="CP24" s="149">
        <f>CN27</f>
        <v>12</v>
      </c>
      <c r="CQ24" s="138">
        <f t="shared" si="140"/>
        <v>8</v>
      </c>
      <c r="CR24" s="36">
        <f>CQ23</f>
        <v>7</v>
      </c>
      <c r="CS24" s="149">
        <f>CQ27</f>
        <v>11</v>
      </c>
      <c r="CT24" s="36">
        <f>AF14</f>
        <v>8</v>
      </c>
      <c r="CU24" s="36">
        <f>CT23</f>
        <v>7</v>
      </c>
      <c r="CV24" s="36">
        <f>CT25</f>
        <v>9</v>
      </c>
      <c r="CW24" s="138">
        <f>AF13</f>
        <v>7</v>
      </c>
      <c r="CX24" s="36">
        <f>CW23</f>
        <v>6</v>
      </c>
      <c r="CY24" s="149">
        <f>CW25</f>
        <v>8</v>
      </c>
      <c r="CZ24" s="138">
        <f>AF13</f>
        <v>7</v>
      </c>
      <c r="DA24" s="36">
        <f>CZ23</f>
        <v>6</v>
      </c>
      <c r="DB24" s="36">
        <f>CZ26</f>
        <v>9</v>
      </c>
      <c r="DC24" s="138">
        <f>AF12</f>
        <v>6</v>
      </c>
      <c r="DD24" s="36">
        <f>DC23</f>
        <v>5</v>
      </c>
      <c r="DE24" s="149">
        <f>DC26</f>
        <v>8</v>
      </c>
      <c r="DF24" s="138">
        <f>AF12</f>
        <v>6</v>
      </c>
      <c r="DG24" s="36">
        <f>DF23</f>
        <v>5</v>
      </c>
      <c r="DH24" s="149" t="str">
        <f>DG25</f>
        <v>VL</v>
      </c>
      <c r="DI24" s="138">
        <f>AF11</f>
        <v>5</v>
      </c>
      <c r="DJ24" s="36">
        <f>DI23</f>
        <v>4</v>
      </c>
      <c r="DK24" s="149" t="str">
        <f>DJ25</f>
        <v>VL</v>
      </c>
      <c r="DN24" s="36">
        <f t="shared" si="128"/>
        <v>18</v>
      </c>
      <c r="DO24" s="138">
        <f t="shared" si="41"/>
        <v>18</v>
      </c>
      <c r="DP24" s="36">
        <f t="shared" si="42"/>
        <v>18</v>
      </c>
      <c r="DQ24" s="36">
        <f t="shared" si="43"/>
        <v>17</v>
      </c>
      <c r="DR24" s="36">
        <f t="shared" si="44"/>
        <v>17</v>
      </c>
      <c r="DS24" s="36">
        <f t="shared" si="45"/>
        <v>16</v>
      </c>
      <c r="DT24" s="36">
        <f t="shared" si="46"/>
        <v>16</v>
      </c>
      <c r="DU24" s="36">
        <f t="shared" si="47"/>
        <v>15</v>
      </c>
      <c r="DV24" s="36">
        <f t="shared" si="48"/>
        <v>15</v>
      </c>
      <c r="DW24" s="36">
        <f t="shared" si="49"/>
        <v>14</v>
      </c>
      <c r="DX24" s="36">
        <f t="shared" si="50"/>
        <v>14</v>
      </c>
      <c r="DY24" s="36">
        <f t="shared" si="51"/>
        <v>13</v>
      </c>
      <c r="DZ24" s="36">
        <f t="shared" si="52"/>
        <v>13</v>
      </c>
      <c r="EA24" s="36">
        <f t="shared" si="53"/>
        <v>12</v>
      </c>
      <c r="EB24" s="36">
        <f t="shared" si="54"/>
        <v>12</v>
      </c>
      <c r="EC24" s="36">
        <f t="shared" si="55"/>
        <v>11</v>
      </c>
      <c r="ED24" s="36">
        <f t="shared" si="56"/>
        <v>11</v>
      </c>
      <c r="EE24" s="36">
        <f t="shared" si="57"/>
        <v>10</v>
      </c>
      <c r="EF24" s="36">
        <f t="shared" si="58"/>
        <v>10</v>
      </c>
      <c r="EG24" s="36">
        <f t="shared" si="59"/>
        <v>9</v>
      </c>
      <c r="EH24" s="36">
        <f t="shared" si="60"/>
        <v>9</v>
      </c>
      <c r="EI24" s="36">
        <f t="shared" si="61"/>
        <v>8</v>
      </c>
      <c r="EJ24" s="36">
        <f t="shared" si="62"/>
        <v>8</v>
      </c>
      <c r="EK24" s="36">
        <f t="shared" si="63"/>
        <v>7</v>
      </c>
      <c r="EL24" s="36">
        <f t="shared" si="64"/>
        <v>7</v>
      </c>
      <c r="EM24" s="36">
        <f t="shared" si="65"/>
        <v>6</v>
      </c>
      <c r="EN24" s="36">
        <f t="shared" si="66"/>
        <v>6</v>
      </c>
      <c r="EO24" s="149">
        <f t="shared" si="67"/>
        <v>5</v>
      </c>
      <c r="ES24" s="36">
        <f t="shared" si="129"/>
        <v>18</v>
      </c>
      <c r="ET24" s="138">
        <f t="shared" si="68"/>
        <v>17</v>
      </c>
      <c r="EU24" s="36">
        <f t="shared" si="69"/>
        <v>17</v>
      </c>
      <c r="EV24" s="36">
        <f t="shared" si="70"/>
        <v>16</v>
      </c>
      <c r="EW24" s="36">
        <f t="shared" si="71"/>
        <v>16</v>
      </c>
      <c r="EX24" s="36">
        <f t="shared" si="72"/>
        <v>15</v>
      </c>
      <c r="EY24" s="36">
        <f t="shared" si="73"/>
        <v>15</v>
      </c>
      <c r="EZ24" s="36">
        <f t="shared" si="74"/>
        <v>14</v>
      </c>
      <c r="FA24" s="36">
        <f t="shared" si="75"/>
        <v>14</v>
      </c>
      <c r="FB24" s="36">
        <f t="shared" si="76"/>
        <v>13</v>
      </c>
      <c r="FC24" s="36">
        <f t="shared" si="77"/>
        <v>13</v>
      </c>
      <c r="FD24" s="36">
        <f t="shared" si="78"/>
        <v>12</v>
      </c>
      <c r="FE24" s="36">
        <f t="shared" si="79"/>
        <v>12</v>
      </c>
      <c r="FF24" s="36">
        <f t="shared" si="80"/>
        <v>11</v>
      </c>
      <c r="FG24" s="36">
        <f t="shared" si="81"/>
        <v>11</v>
      </c>
      <c r="FH24" s="36">
        <f t="shared" si="82"/>
        <v>10</v>
      </c>
      <c r="FI24" s="36">
        <f t="shared" si="83"/>
        <v>10</v>
      </c>
      <c r="FJ24" s="36">
        <f t="shared" si="84"/>
        <v>9</v>
      </c>
      <c r="FK24" s="36">
        <f t="shared" si="85"/>
        <v>9</v>
      </c>
      <c r="FL24" s="36">
        <f t="shared" si="86"/>
        <v>8</v>
      </c>
      <c r="FM24" s="36">
        <f t="shared" si="87"/>
        <v>8</v>
      </c>
      <c r="FN24" s="36">
        <f t="shared" si="88"/>
        <v>7</v>
      </c>
      <c r="FO24" s="36">
        <f t="shared" si="89"/>
        <v>7</v>
      </c>
      <c r="FP24" s="36">
        <f t="shared" si="90"/>
        <v>6</v>
      </c>
      <c r="FQ24" s="36">
        <f t="shared" si="91"/>
        <v>6</v>
      </c>
      <c r="FR24" s="36">
        <f t="shared" si="92"/>
        <v>5</v>
      </c>
      <c r="FS24" s="36">
        <f t="shared" si="93"/>
        <v>5</v>
      </c>
      <c r="FT24" s="149">
        <f t="shared" si="94"/>
        <v>4</v>
      </c>
      <c r="FX24" s="36">
        <f t="shared" si="130"/>
        <v>18</v>
      </c>
      <c r="FY24" s="138">
        <f t="shared" si="95"/>
        <v>20</v>
      </c>
      <c r="FZ24" s="36">
        <f t="shared" si="96"/>
        <v>19</v>
      </c>
      <c r="GA24" s="36">
        <f t="shared" si="97"/>
        <v>18</v>
      </c>
      <c r="GB24" s="36">
        <f t="shared" si="98"/>
        <v>19</v>
      </c>
      <c r="GC24" s="36">
        <f t="shared" si="99"/>
        <v>18</v>
      </c>
      <c r="GD24" s="36">
        <f t="shared" si="100"/>
        <v>17</v>
      </c>
      <c r="GE24" s="36">
        <f t="shared" si="101"/>
        <v>16</v>
      </c>
      <c r="GF24" s="36">
        <f t="shared" si="102"/>
        <v>17</v>
      </c>
      <c r="GG24" s="36">
        <f t="shared" si="103"/>
        <v>16</v>
      </c>
      <c r="GH24" s="36">
        <f t="shared" si="104"/>
        <v>15</v>
      </c>
      <c r="GI24" s="36">
        <f t="shared" si="105"/>
        <v>14</v>
      </c>
      <c r="GJ24" s="36">
        <f t="shared" si="106"/>
        <v>15</v>
      </c>
      <c r="GK24" s="36">
        <f t="shared" si="107"/>
        <v>14</v>
      </c>
      <c r="GL24" s="36">
        <f t="shared" si="108"/>
        <v>13</v>
      </c>
      <c r="GM24" s="36">
        <f t="shared" si="109"/>
        <v>12</v>
      </c>
      <c r="GN24" s="36">
        <f t="shared" si="110"/>
        <v>13</v>
      </c>
      <c r="GO24" s="36">
        <f t="shared" si="111"/>
        <v>12</v>
      </c>
      <c r="GP24" s="36">
        <f t="shared" si="112"/>
        <v>11</v>
      </c>
      <c r="GQ24" s="36">
        <f t="shared" si="113"/>
        <v>10</v>
      </c>
      <c r="GR24" s="36">
        <f t="shared" si="114"/>
        <v>12</v>
      </c>
      <c r="GS24" s="36">
        <f t="shared" si="115"/>
        <v>11</v>
      </c>
      <c r="GT24" s="36">
        <f t="shared" si="116"/>
        <v>9</v>
      </c>
      <c r="GU24" s="36">
        <f t="shared" si="117"/>
        <v>8</v>
      </c>
      <c r="GV24" s="36">
        <f t="shared" si="118"/>
        <v>9</v>
      </c>
      <c r="GW24" s="36">
        <f t="shared" si="119"/>
        <v>8</v>
      </c>
      <c r="GX24" s="36" t="str">
        <f t="shared" si="120"/>
        <v>VL</v>
      </c>
      <c r="GY24" s="149" t="str">
        <f t="shared" si="121"/>
        <v>VL</v>
      </c>
      <c r="HD24" s="36">
        <f t="shared" si="131"/>
        <v>18</v>
      </c>
      <c r="HE24" s="36">
        <f t="shared" si="122"/>
        <v>5</v>
      </c>
      <c r="HF24" s="36">
        <f t="shared" si="123"/>
        <v>4</v>
      </c>
      <c r="HG24" s="36" t="str">
        <f t="shared" si="124"/>
        <v>VL</v>
      </c>
      <c r="HK24" s="152"/>
      <c r="HM24" s="153"/>
      <c r="HQ24" s="159" t="str">
        <f t="shared" si="125"/>
        <v/>
      </c>
      <c r="HR24" s="160" t="str">
        <f t="shared" si="126"/>
        <v/>
      </c>
      <c r="HU24" s="36">
        <v>2</v>
      </c>
      <c r="HV24" s="36">
        <f t="shared" si="132"/>
        <v>18</v>
      </c>
      <c r="HW24" s="138">
        <v>18</v>
      </c>
      <c r="HX24" s="36">
        <v>31</v>
      </c>
      <c r="HY24" s="36">
        <v>30</v>
      </c>
      <c r="HZ24" s="36">
        <v>17</v>
      </c>
      <c r="IA24" s="36">
        <v>16</v>
      </c>
      <c r="IB24" s="36">
        <v>27</v>
      </c>
      <c r="IC24" s="36">
        <v>26</v>
      </c>
      <c r="ID24" s="36">
        <v>15</v>
      </c>
      <c r="IE24" s="36">
        <v>14</v>
      </c>
      <c r="IF24" s="36">
        <v>23</v>
      </c>
      <c r="IG24" s="36">
        <v>22</v>
      </c>
      <c r="IH24" s="36">
        <v>13</v>
      </c>
      <c r="II24" s="36">
        <v>12</v>
      </c>
      <c r="IJ24" s="36">
        <v>19</v>
      </c>
      <c r="IK24" s="36">
        <v>18</v>
      </c>
      <c r="IL24" s="36">
        <v>11</v>
      </c>
      <c r="IM24" s="36">
        <v>10</v>
      </c>
      <c r="IN24" s="36">
        <v>15</v>
      </c>
      <c r="IO24" s="36">
        <v>14</v>
      </c>
      <c r="IP24" s="36">
        <v>9</v>
      </c>
      <c r="IQ24" s="36">
        <v>8</v>
      </c>
      <c r="IR24" s="36">
        <v>11</v>
      </c>
      <c r="IS24" s="36">
        <v>10</v>
      </c>
      <c r="IT24" s="36">
        <v>7</v>
      </c>
      <c r="IU24" s="36">
        <v>6</v>
      </c>
      <c r="IV24" s="36">
        <v>7</v>
      </c>
      <c r="IW24" s="149">
        <v>6</v>
      </c>
      <c r="IY24" s="36">
        <f t="shared" si="127"/>
        <v>3</v>
      </c>
    </row>
    <row r="25" spans="1:267" ht="15.9" hidden="1" customHeight="1" x14ac:dyDescent="0.3">
      <c r="A25" s="104">
        <f t="shared" si="137"/>
        <v>19</v>
      </c>
      <c r="B25" s="99"/>
      <c r="C25" s="97"/>
      <c r="D25" s="96"/>
      <c r="E25" s="10"/>
      <c r="F25" s="9"/>
      <c r="G25" s="97"/>
      <c r="H25" s="98"/>
      <c r="I25" s="91"/>
      <c r="T25" s="53" t="str">
        <f>$T$23</f>
        <v>výsledky</v>
      </c>
      <c r="U25" s="67" t="str">
        <f>IF(U23=0,#REF!,IF(U23&gt;0,IF(U23&gt;1,IF(U23&gt;19,IF(U23&gt;20,#REF!,$T$36),#REF!),$T$36),$T$35))</f>
        <v>OK</v>
      </c>
      <c r="AE25" s="36">
        <f t="shared" si="19"/>
        <v>0</v>
      </c>
      <c r="AF25" s="36">
        <f t="shared" ref="AF25:AF38" si="142">A25</f>
        <v>19</v>
      </c>
      <c r="AH25" s="36">
        <v>3</v>
      </c>
      <c r="AI25" s="138">
        <f t="shared" si="21"/>
        <v>19</v>
      </c>
      <c r="AJ25" s="36">
        <f>AF26</f>
        <v>20</v>
      </c>
      <c r="AK25" s="149">
        <f>AI23</f>
        <v>17</v>
      </c>
      <c r="AL25" s="36">
        <f t="shared" ref="AL25:AL37" si="143">AF25</f>
        <v>19</v>
      </c>
      <c r="AM25" s="36">
        <f>AL26</f>
        <v>20</v>
      </c>
      <c r="AN25" s="149">
        <f>AL24</f>
        <v>18</v>
      </c>
      <c r="AO25" s="138">
        <f t="shared" ref="AO25:AO37" si="144">AF24</f>
        <v>18</v>
      </c>
      <c r="AP25" s="36">
        <f>AO26</f>
        <v>19</v>
      </c>
      <c r="AQ25" s="149">
        <f>AO24</f>
        <v>17</v>
      </c>
      <c r="AR25" s="36">
        <f t="shared" ref="AR25:AR36" si="145">AF24</f>
        <v>18</v>
      </c>
      <c r="AS25" s="36">
        <f>AR26</f>
        <v>19</v>
      </c>
      <c r="AT25" s="149">
        <f>AR23</f>
        <v>16</v>
      </c>
      <c r="AU25" s="138">
        <f t="shared" ref="AU25:AU36" si="146">AF23</f>
        <v>17</v>
      </c>
      <c r="AV25" s="36">
        <f>AU26</f>
        <v>18</v>
      </c>
      <c r="AW25" s="149">
        <f>AU23</f>
        <v>15</v>
      </c>
      <c r="AX25" s="36">
        <f t="shared" ref="AX25:AX35" si="147">AF23</f>
        <v>17</v>
      </c>
      <c r="AY25" s="36">
        <f>AX26</f>
        <v>18</v>
      </c>
      <c r="AZ25" s="149">
        <f>AX24</f>
        <v>16</v>
      </c>
      <c r="BA25" s="138">
        <f t="shared" ref="BA25:BA35" si="148">AF22</f>
        <v>16</v>
      </c>
      <c r="BB25" s="36">
        <f>BA26</f>
        <v>17</v>
      </c>
      <c r="BC25" s="149">
        <f>BA24</f>
        <v>15</v>
      </c>
      <c r="BD25" s="36">
        <f t="shared" ref="BD25:BD34" si="149">AF22</f>
        <v>16</v>
      </c>
      <c r="BE25" s="36">
        <f>BD26</f>
        <v>17</v>
      </c>
      <c r="BF25" s="36">
        <f>BD23</f>
        <v>14</v>
      </c>
      <c r="BG25" s="138">
        <f t="shared" ref="BG25:BG34" si="150">AF21</f>
        <v>15</v>
      </c>
      <c r="BH25" s="36">
        <f>BG26</f>
        <v>16</v>
      </c>
      <c r="BI25" s="149">
        <f>BG23</f>
        <v>13</v>
      </c>
      <c r="BJ25" s="138">
        <f t="shared" ref="BJ25:BJ33" si="151">AF21</f>
        <v>15</v>
      </c>
      <c r="BK25" s="36">
        <f>BJ26</f>
        <v>16</v>
      </c>
      <c r="BL25" s="149">
        <f>BJ24</f>
        <v>14</v>
      </c>
      <c r="BM25" s="138">
        <f t="shared" ref="BM25:BM33" si="152">AF20</f>
        <v>14</v>
      </c>
      <c r="BN25" s="36">
        <f>BM26</f>
        <v>15</v>
      </c>
      <c r="BO25" s="149">
        <f>BM24</f>
        <v>13</v>
      </c>
      <c r="BP25" s="36">
        <f t="shared" ref="BP25:BP32" si="153">AF20</f>
        <v>14</v>
      </c>
      <c r="BQ25" s="36">
        <f>BP26</f>
        <v>15</v>
      </c>
      <c r="BR25" s="149">
        <f>BP23</f>
        <v>12</v>
      </c>
      <c r="BS25" s="138">
        <f t="shared" ref="BS25:BS32" si="154">AF19</f>
        <v>13</v>
      </c>
      <c r="BT25" s="36">
        <f>BS26</f>
        <v>14</v>
      </c>
      <c r="BU25" s="149">
        <f>BS23</f>
        <v>11</v>
      </c>
      <c r="BV25" s="36">
        <f t="shared" ref="BV25:BV31" si="155">AF19</f>
        <v>13</v>
      </c>
      <c r="BW25" s="36">
        <f>BV26</f>
        <v>14</v>
      </c>
      <c r="BX25" s="149">
        <f>BV24</f>
        <v>12</v>
      </c>
      <c r="BY25" s="138">
        <f t="shared" ref="BY25:BY31" si="156">AF18</f>
        <v>12</v>
      </c>
      <c r="BZ25" s="36">
        <f>BY26</f>
        <v>13</v>
      </c>
      <c r="CA25" s="149">
        <f>BY24</f>
        <v>11</v>
      </c>
      <c r="CB25" s="36">
        <f t="shared" ref="CB25:CB30" si="157">AF18</f>
        <v>12</v>
      </c>
      <c r="CC25" s="36">
        <f>CB26</f>
        <v>13</v>
      </c>
      <c r="CD25" s="149">
        <f>CB23</f>
        <v>10</v>
      </c>
      <c r="CE25" s="138">
        <f t="shared" ref="CE25:CE30" si="158">AF17</f>
        <v>11</v>
      </c>
      <c r="CF25" s="36">
        <f>CE26</f>
        <v>12</v>
      </c>
      <c r="CG25" s="149">
        <f>CE23</f>
        <v>9</v>
      </c>
      <c r="CH25" s="138">
        <f t="shared" si="141"/>
        <v>11</v>
      </c>
      <c r="CI25" s="36">
        <f>CH26</f>
        <v>12</v>
      </c>
      <c r="CJ25" s="149">
        <f>CH24</f>
        <v>10</v>
      </c>
      <c r="CK25" s="138">
        <f t="shared" si="138"/>
        <v>10</v>
      </c>
      <c r="CL25" s="36">
        <f>CK26</f>
        <v>11</v>
      </c>
      <c r="CM25" s="149">
        <f>CK24</f>
        <v>9</v>
      </c>
      <c r="CN25" s="138">
        <f t="shared" si="139"/>
        <v>10</v>
      </c>
      <c r="CO25" s="36">
        <f>CN26</f>
        <v>11</v>
      </c>
      <c r="CP25" s="149">
        <f>CN23</f>
        <v>8</v>
      </c>
      <c r="CQ25" s="138">
        <f t="shared" si="140"/>
        <v>9</v>
      </c>
      <c r="CR25" s="36">
        <f>CQ26</f>
        <v>10</v>
      </c>
      <c r="CS25" s="149">
        <f>CQ23</f>
        <v>7</v>
      </c>
      <c r="CT25" s="36">
        <f>AF15</f>
        <v>9</v>
      </c>
      <c r="CU25" s="36">
        <f>CT26</f>
        <v>10</v>
      </c>
      <c r="CV25" s="36">
        <f>CT24</f>
        <v>8</v>
      </c>
      <c r="CW25" s="138">
        <f>AF14</f>
        <v>8</v>
      </c>
      <c r="CX25" s="36">
        <f>CW26</f>
        <v>9</v>
      </c>
      <c r="CY25" s="149">
        <f>CW24</f>
        <v>7</v>
      </c>
      <c r="CZ25" s="138">
        <f>AF14</f>
        <v>8</v>
      </c>
      <c r="DA25" s="36">
        <f>CZ26</f>
        <v>9</v>
      </c>
      <c r="DB25" s="36">
        <f>CZ23</f>
        <v>6</v>
      </c>
      <c r="DC25" s="138">
        <f>AF13</f>
        <v>7</v>
      </c>
      <c r="DD25" s="36">
        <f>DC26</f>
        <v>8</v>
      </c>
      <c r="DE25" s="149">
        <f>DC23</f>
        <v>5</v>
      </c>
      <c r="DF25" s="138">
        <f>AF13</f>
        <v>7</v>
      </c>
      <c r="DG25" s="36" t="str">
        <f>$AE$1</f>
        <v>VL</v>
      </c>
      <c r="DH25" s="149">
        <f>DF23</f>
        <v>5</v>
      </c>
      <c r="DI25" s="138">
        <f>AF12</f>
        <v>6</v>
      </c>
      <c r="DJ25" s="36" t="str">
        <f>$AE$1</f>
        <v>VL</v>
      </c>
      <c r="DK25" s="149">
        <f>DI23</f>
        <v>4</v>
      </c>
      <c r="DN25" s="36">
        <f t="shared" si="128"/>
        <v>19</v>
      </c>
      <c r="DO25" s="138">
        <f t="shared" si="41"/>
        <v>19</v>
      </c>
      <c r="DP25" s="36">
        <f t="shared" si="42"/>
        <v>19</v>
      </c>
      <c r="DQ25" s="36">
        <f t="shared" si="43"/>
        <v>18</v>
      </c>
      <c r="DR25" s="36">
        <f t="shared" si="44"/>
        <v>18</v>
      </c>
      <c r="DS25" s="36">
        <f t="shared" si="45"/>
        <v>17</v>
      </c>
      <c r="DT25" s="36">
        <f t="shared" si="46"/>
        <v>17</v>
      </c>
      <c r="DU25" s="36">
        <f t="shared" si="47"/>
        <v>16</v>
      </c>
      <c r="DV25" s="36">
        <f t="shared" si="48"/>
        <v>16</v>
      </c>
      <c r="DW25" s="36">
        <f t="shared" si="49"/>
        <v>15</v>
      </c>
      <c r="DX25" s="36">
        <f t="shared" si="50"/>
        <v>15</v>
      </c>
      <c r="DY25" s="36">
        <f t="shared" si="51"/>
        <v>14</v>
      </c>
      <c r="DZ25" s="36">
        <f t="shared" si="52"/>
        <v>14</v>
      </c>
      <c r="EA25" s="36">
        <f t="shared" si="53"/>
        <v>13</v>
      </c>
      <c r="EB25" s="36">
        <f t="shared" si="54"/>
        <v>13</v>
      </c>
      <c r="EC25" s="36">
        <f t="shared" si="55"/>
        <v>12</v>
      </c>
      <c r="ED25" s="36">
        <f t="shared" si="56"/>
        <v>12</v>
      </c>
      <c r="EE25" s="36">
        <f t="shared" si="57"/>
        <v>11</v>
      </c>
      <c r="EF25" s="36">
        <f t="shared" si="58"/>
        <v>11</v>
      </c>
      <c r="EG25" s="36">
        <f t="shared" si="59"/>
        <v>10</v>
      </c>
      <c r="EH25" s="36">
        <f t="shared" si="60"/>
        <v>10</v>
      </c>
      <c r="EI25" s="36">
        <f t="shared" si="61"/>
        <v>9</v>
      </c>
      <c r="EJ25" s="36">
        <f t="shared" si="62"/>
        <v>9</v>
      </c>
      <c r="EK25" s="36">
        <f t="shared" si="63"/>
        <v>8</v>
      </c>
      <c r="EL25" s="36">
        <f t="shared" si="64"/>
        <v>8</v>
      </c>
      <c r="EM25" s="36">
        <f t="shared" si="65"/>
        <v>7</v>
      </c>
      <c r="EN25" s="36">
        <f t="shared" si="66"/>
        <v>7</v>
      </c>
      <c r="EO25" s="149">
        <f t="shared" si="67"/>
        <v>6</v>
      </c>
      <c r="ES25" s="36">
        <f t="shared" si="129"/>
        <v>19</v>
      </c>
      <c r="ET25" s="138">
        <f t="shared" si="68"/>
        <v>20</v>
      </c>
      <c r="EU25" s="36">
        <f t="shared" si="69"/>
        <v>20</v>
      </c>
      <c r="EV25" s="36">
        <f t="shared" si="70"/>
        <v>19</v>
      </c>
      <c r="EW25" s="36">
        <f t="shared" si="71"/>
        <v>19</v>
      </c>
      <c r="EX25" s="36">
        <f t="shared" si="72"/>
        <v>18</v>
      </c>
      <c r="EY25" s="36">
        <f t="shared" si="73"/>
        <v>18</v>
      </c>
      <c r="EZ25" s="36">
        <f t="shared" si="74"/>
        <v>17</v>
      </c>
      <c r="FA25" s="36">
        <f t="shared" si="75"/>
        <v>17</v>
      </c>
      <c r="FB25" s="36">
        <f t="shared" si="76"/>
        <v>16</v>
      </c>
      <c r="FC25" s="36">
        <f t="shared" si="77"/>
        <v>16</v>
      </c>
      <c r="FD25" s="36">
        <f t="shared" si="78"/>
        <v>15</v>
      </c>
      <c r="FE25" s="36">
        <f t="shared" si="79"/>
        <v>15</v>
      </c>
      <c r="FF25" s="36">
        <f t="shared" si="80"/>
        <v>14</v>
      </c>
      <c r="FG25" s="36">
        <f t="shared" si="81"/>
        <v>14</v>
      </c>
      <c r="FH25" s="36">
        <f t="shared" si="82"/>
        <v>13</v>
      </c>
      <c r="FI25" s="36">
        <f t="shared" si="83"/>
        <v>13</v>
      </c>
      <c r="FJ25" s="36">
        <f t="shared" si="84"/>
        <v>12</v>
      </c>
      <c r="FK25" s="36">
        <f t="shared" si="85"/>
        <v>12</v>
      </c>
      <c r="FL25" s="36">
        <f t="shared" si="86"/>
        <v>11</v>
      </c>
      <c r="FM25" s="36">
        <f t="shared" si="87"/>
        <v>11</v>
      </c>
      <c r="FN25" s="36">
        <f t="shared" si="88"/>
        <v>10</v>
      </c>
      <c r="FO25" s="36">
        <f t="shared" si="89"/>
        <v>10</v>
      </c>
      <c r="FP25" s="36">
        <f t="shared" si="90"/>
        <v>9</v>
      </c>
      <c r="FQ25" s="36">
        <f t="shared" si="91"/>
        <v>9</v>
      </c>
      <c r="FR25" s="36">
        <f t="shared" si="92"/>
        <v>8</v>
      </c>
      <c r="FS25" s="36" t="str">
        <f t="shared" si="93"/>
        <v>VL</v>
      </c>
      <c r="FT25" s="149" t="str">
        <f t="shared" si="94"/>
        <v>VL</v>
      </c>
      <c r="FX25" s="36">
        <f t="shared" si="130"/>
        <v>19</v>
      </c>
      <c r="FY25" s="138">
        <f t="shared" si="95"/>
        <v>17</v>
      </c>
      <c r="FZ25" s="36">
        <f t="shared" si="96"/>
        <v>18</v>
      </c>
      <c r="GA25" s="36">
        <f t="shared" si="97"/>
        <v>17</v>
      </c>
      <c r="GB25" s="36">
        <f t="shared" si="98"/>
        <v>16</v>
      </c>
      <c r="GC25" s="36">
        <f t="shared" si="99"/>
        <v>15</v>
      </c>
      <c r="GD25" s="36">
        <f t="shared" si="100"/>
        <v>16</v>
      </c>
      <c r="GE25" s="36">
        <f t="shared" si="101"/>
        <v>15</v>
      </c>
      <c r="GF25" s="36">
        <f t="shared" si="102"/>
        <v>14</v>
      </c>
      <c r="GG25" s="36">
        <f t="shared" si="103"/>
        <v>13</v>
      </c>
      <c r="GH25" s="36">
        <f t="shared" si="104"/>
        <v>14</v>
      </c>
      <c r="GI25" s="36">
        <f t="shared" si="105"/>
        <v>13</v>
      </c>
      <c r="GJ25" s="36">
        <f t="shared" si="106"/>
        <v>12</v>
      </c>
      <c r="GK25" s="36">
        <f t="shared" si="107"/>
        <v>11</v>
      </c>
      <c r="GL25" s="36">
        <f t="shared" si="108"/>
        <v>12</v>
      </c>
      <c r="GM25" s="36">
        <f t="shared" si="109"/>
        <v>11</v>
      </c>
      <c r="GN25" s="36">
        <f t="shared" si="110"/>
        <v>10</v>
      </c>
      <c r="GO25" s="36">
        <f t="shared" si="111"/>
        <v>9</v>
      </c>
      <c r="GP25" s="36">
        <f t="shared" si="112"/>
        <v>10</v>
      </c>
      <c r="GQ25" s="36">
        <f t="shared" si="113"/>
        <v>9</v>
      </c>
      <c r="GR25" s="36">
        <f t="shared" si="114"/>
        <v>8</v>
      </c>
      <c r="GS25" s="36">
        <f t="shared" si="115"/>
        <v>7</v>
      </c>
      <c r="GT25" s="36">
        <f t="shared" si="116"/>
        <v>8</v>
      </c>
      <c r="GU25" s="36">
        <f t="shared" si="117"/>
        <v>7</v>
      </c>
      <c r="GV25" s="36">
        <f t="shared" si="118"/>
        <v>6</v>
      </c>
      <c r="GW25" s="36">
        <f t="shared" si="119"/>
        <v>5</v>
      </c>
      <c r="GX25" s="36">
        <f t="shared" si="120"/>
        <v>5</v>
      </c>
      <c r="GY25" s="149">
        <f t="shared" si="121"/>
        <v>4</v>
      </c>
      <c r="HD25" s="36">
        <f t="shared" si="131"/>
        <v>19</v>
      </c>
      <c r="HE25" s="36">
        <f t="shared" si="122"/>
        <v>6</v>
      </c>
      <c r="HF25" s="36" t="str">
        <f t="shared" si="123"/>
        <v>VL</v>
      </c>
      <c r="HG25" s="36">
        <f t="shared" si="124"/>
        <v>4</v>
      </c>
      <c r="HJ25" s="36">
        <f>HJ23+1</f>
        <v>10</v>
      </c>
      <c r="HK25" s="152" t="str">
        <f>IF(HE16=0,"",HE16)</f>
        <v/>
      </c>
      <c r="HL25" s="36" t="str">
        <f>IF(HF16=0,"",HF16)</f>
        <v/>
      </c>
      <c r="HM25" s="153" t="str">
        <f>IF(HG16=0,"",HG16)</f>
        <v/>
      </c>
      <c r="HQ25" s="159" t="str">
        <f t="shared" si="125"/>
        <v/>
      </c>
      <c r="HR25" s="160" t="str">
        <f t="shared" si="126"/>
        <v/>
      </c>
      <c r="HU25" s="36">
        <v>3</v>
      </c>
      <c r="HV25" s="36">
        <f t="shared" si="132"/>
        <v>19</v>
      </c>
      <c r="HW25" s="138">
        <v>19</v>
      </c>
      <c r="HX25" s="36">
        <v>17</v>
      </c>
      <c r="HY25" s="36">
        <v>16</v>
      </c>
      <c r="HZ25" s="36">
        <v>18</v>
      </c>
      <c r="IA25" s="36">
        <v>17</v>
      </c>
      <c r="IB25" s="36">
        <v>15</v>
      </c>
      <c r="IC25" s="36">
        <v>14</v>
      </c>
      <c r="ID25" s="36">
        <v>16</v>
      </c>
      <c r="IE25" s="36">
        <v>15</v>
      </c>
      <c r="IF25" s="36">
        <v>13</v>
      </c>
      <c r="IG25" s="36">
        <v>12</v>
      </c>
      <c r="IH25" s="36">
        <v>14</v>
      </c>
      <c r="II25" s="36">
        <v>13</v>
      </c>
      <c r="IJ25" s="36">
        <v>11</v>
      </c>
      <c r="IK25" s="36">
        <v>10</v>
      </c>
      <c r="IL25" s="36">
        <v>12</v>
      </c>
      <c r="IM25" s="36">
        <v>11</v>
      </c>
      <c r="IN25" s="36">
        <v>9</v>
      </c>
      <c r="IO25" s="36">
        <v>8</v>
      </c>
      <c r="IP25" s="36">
        <v>10</v>
      </c>
      <c r="IQ25" s="36">
        <v>9</v>
      </c>
      <c r="IR25" s="36">
        <v>7</v>
      </c>
      <c r="IS25" s="36">
        <v>6</v>
      </c>
      <c r="IT25" s="36">
        <v>8</v>
      </c>
      <c r="IU25" s="36">
        <v>7</v>
      </c>
      <c r="IV25" s="36">
        <v>5</v>
      </c>
      <c r="IW25" s="149">
        <v>4</v>
      </c>
      <c r="IY25" s="36">
        <f t="shared" si="127"/>
        <v>1</v>
      </c>
    </row>
    <row r="26" spans="1:267" ht="15.9" hidden="1" customHeight="1" x14ac:dyDescent="0.3">
      <c r="A26" s="104">
        <f t="shared" si="137"/>
        <v>20</v>
      </c>
      <c r="B26" s="99"/>
      <c r="C26" s="97"/>
      <c r="D26" s="96"/>
      <c r="E26" s="10"/>
      <c r="F26" s="9"/>
      <c r="G26" s="97"/>
      <c r="H26" s="98"/>
      <c r="I26" s="91"/>
      <c r="U26" s="67"/>
      <c r="AE26" s="36">
        <f t="shared" si="19"/>
        <v>0</v>
      </c>
      <c r="AF26" s="36">
        <f t="shared" si="142"/>
        <v>20</v>
      </c>
      <c r="AH26" s="36">
        <v>4</v>
      </c>
      <c r="AI26" s="138">
        <f t="shared" si="21"/>
        <v>20</v>
      </c>
      <c r="AJ26" s="36">
        <f>AF25</f>
        <v>19</v>
      </c>
      <c r="AK26" s="149">
        <f>AI24</f>
        <v>18</v>
      </c>
      <c r="AL26" s="36">
        <f t="shared" si="143"/>
        <v>20</v>
      </c>
      <c r="AM26" s="36">
        <f>AL25</f>
        <v>19</v>
      </c>
      <c r="AN26" s="149">
        <f>AL27</f>
        <v>21</v>
      </c>
      <c r="AO26" s="138">
        <f t="shared" si="144"/>
        <v>19</v>
      </c>
      <c r="AP26" s="36">
        <f>AO25</f>
        <v>18</v>
      </c>
      <c r="AQ26" s="149">
        <f>AO27</f>
        <v>20</v>
      </c>
      <c r="AR26" s="36">
        <f t="shared" si="145"/>
        <v>19</v>
      </c>
      <c r="AS26" s="36">
        <f>AR25</f>
        <v>18</v>
      </c>
      <c r="AT26" s="149">
        <f>AR24</f>
        <v>17</v>
      </c>
      <c r="AU26" s="138">
        <f t="shared" si="146"/>
        <v>18</v>
      </c>
      <c r="AV26" s="36">
        <f>AU25</f>
        <v>17</v>
      </c>
      <c r="AW26" s="149">
        <f>AU24</f>
        <v>16</v>
      </c>
      <c r="AX26" s="36">
        <f t="shared" si="147"/>
        <v>18</v>
      </c>
      <c r="AY26" s="36">
        <f>AX25</f>
        <v>17</v>
      </c>
      <c r="AZ26" s="149">
        <f>AX27</f>
        <v>19</v>
      </c>
      <c r="BA26" s="138">
        <f t="shared" si="148"/>
        <v>17</v>
      </c>
      <c r="BB26" s="36">
        <f>BA25</f>
        <v>16</v>
      </c>
      <c r="BC26" s="149">
        <f>BA27</f>
        <v>18</v>
      </c>
      <c r="BD26" s="36">
        <f t="shared" si="149"/>
        <v>17</v>
      </c>
      <c r="BE26" s="36">
        <f>BD25</f>
        <v>16</v>
      </c>
      <c r="BF26" s="149">
        <f>BD24</f>
        <v>15</v>
      </c>
      <c r="BG26" s="138">
        <f t="shared" si="150"/>
        <v>16</v>
      </c>
      <c r="BH26" s="36">
        <f>BG25</f>
        <v>15</v>
      </c>
      <c r="BI26" s="149">
        <f>BG24</f>
        <v>14</v>
      </c>
      <c r="BJ26" s="138">
        <f t="shared" si="151"/>
        <v>16</v>
      </c>
      <c r="BK26" s="36">
        <f>BJ25</f>
        <v>15</v>
      </c>
      <c r="BL26" s="149">
        <f>BJ27</f>
        <v>17</v>
      </c>
      <c r="BM26" s="138">
        <f t="shared" si="152"/>
        <v>15</v>
      </c>
      <c r="BN26" s="36">
        <f>BM25</f>
        <v>14</v>
      </c>
      <c r="BO26" s="149">
        <f>BM27</f>
        <v>16</v>
      </c>
      <c r="BP26" s="36">
        <f t="shared" si="153"/>
        <v>15</v>
      </c>
      <c r="BQ26" s="36">
        <f>BP25</f>
        <v>14</v>
      </c>
      <c r="BR26" s="149">
        <f>BP24</f>
        <v>13</v>
      </c>
      <c r="BS26" s="138">
        <f t="shared" si="154"/>
        <v>14</v>
      </c>
      <c r="BT26" s="36">
        <f>BS25</f>
        <v>13</v>
      </c>
      <c r="BU26" s="149">
        <f>BS24</f>
        <v>12</v>
      </c>
      <c r="BV26" s="36">
        <f t="shared" si="155"/>
        <v>14</v>
      </c>
      <c r="BW26" s="36">
        <f>BV25</f>
        <v>13</v>
      </c>
      <c r="BX26" s="149">
        <f>BV27</f>
        <v>15</v>
      </c>
      <c r="BY26" s="138">
        <f t="shared" si="156"/>
        <v>13</v>
      </c>
      <c r="BZ26" s="36">
        <f>BY25</f>
        <v>12</v>
      </c>
      <c r="CA26" s="149">
        <f>BY27</f>
        <v>14</v>
      </c>
      <c r="CB26" s="36">
        <f t="shared" si="157"/>
        <v>13</v>
      </c>
      <c r="CC26" s="36">
        <f>CB25</f>
        <v>12</v>
      </c>
      <c r="CD26" s="149">
        <f>CB24</f>
        <v>11</v>
      </c>
      <c r="CE26" s="138">
        <f t="shared" si="158"/>
        <v>12</v>
      </c>
      <c r="CF26" s="36">
        <f>CE25</f>
        <v>11</v>
      </c>
      <c r="CG26" s="149">
        <f>CE24</f>
        <v>10</v>
      </c>
      <c r="CH26" s="138">
        <f t="shared" si="141"/>
        <v>12</v>
      </c>
      <c r="CI26" s="36">
        <f>CH25</f>
        <v>11</v>
      </c>
      <c r="CJ26" s="149">
        <f>CH27</f>
        <v>13</v>
      </c>
      <c r="CK26" s="138">
        <f t="shared" si="138"/>
        <v>11</v>
      </c>
      <c r="CL26" s="36">
        <f>CK25</f>
        <v>10</v>
      </c>
      <c r="CM26" s="149">
        <f>CK27</f>
        <v>12</v>
      </c>
      <c r="CN26" s="138">
        <f t="shared" si="139"/>
        <v>11</v>
      </c>
      <c r="CO26" s="36">
        <f>CN25</f>
        <v>10</v>
      </c>
      <c r="CP26" s="149">
        <f>CN28</f>
        <v>13</v>
      </c>
      <c r="CQ26" s="138">
        <f t="shared" si="140"/>
        <v>10</v>
      </c>
      <c r="CR26" s="36">
        <f>CQ25</f>
        <v>9</v>
      </c>
      <c r="CS26" s="149">
        <f>CQ28</f>
        <v>12</v>
      </c>
      <c r="CT26" s="36">
        <f>AF16</f>
        <v>10</v>
      </c>
      <c r="CU26" s="36">
        <f>CT25</f>
        <v>9</v>
      </c>
      <c r="CV26" s="36" t="str">
        <f>CU27</f>
        <v>VL</v>
      </c>
      <c r="CW26" s="138">
        <f>AF15</f>
        <v>9</v>
      </c>
      <c r="CX26" s="36">
        <f>CW25</f>
        <v>8</v>
      </c>
      <c r="CY26" s="149" t="str">
        <f>CX27</f>
        <v>VL</v>
      </c>
      <c r="CZ26" s="138">
        <f>AF15</f>
        <v>9</v>
      </c>
      <c r="DA26" s="36">
        <f>CZ25</f>
        <v>8</v>
      </c>
      <c r="DB26" s="36">
        <f>CZ24</f>
        <v>7</v>
      </c>
      <c r="DC26" s="138">
        <f>AF14</f>
        <v>8</v>
      </c>
      <c r="DD26" s="36">
        <f>DC25</f>
        <v>7</v>
      </c>
      <c r="DE26" s="149">
        <f>DC24</f>
        <v>6</v>
      </c>
      <c r="DF26" s="138"/>
      <c r="DI26" s="138"/>
      <c r="DK26" s="149"/>
      <c r="DN26" s="36">
        <f t="shared" si="128"/>
        <v>20</v>
      </c>
      <c r="DO26" s="138">
        <f t="shared" si="41"/>
        <v>20</v>
      </c>
      <c r="DP26" s="36">
        <f t="shared" si="42"/>
        <v>20</v>
      </c>
      <c r="DQ26" s="36">
        <f t="shared" si="43"/>
        <v>19</v>
      </c>
      <c r="DR26" s="36">
        <f t="shared" si="44"/>
        <v>19</v>
      </c>
      <c r="DS26" s="36">
        <f t="shared" si="45"/>
        <v>18</v>
      </c>
      <c r="DT26" s="36">
        <f t="shared" si="46"/>
        <v>18</v>
      </c>
      <c r="DU26" s="36">
        <f t="shared" si="47"/>
        <v>17</v>
      </c>
      <c r="DV26" s="36">
        <f t="shared" si="48"/>
        <v>17</v>
      </c>
      <c r="DW26" s="36">
        <f t="shared" si="49"/>
        <v>16</v>
      </c>
      <c r="DX26" s="36">
        <f t="shared" si="50"/>
        <v>16</v>
      </c>
      <c r="DY26" s="36">
        <f t="shared" si="51"/>
        <v>15</v>
      </c>
      <c r="DZ26" s="36">
        <f t="shared" si="52"/>
        <v>15</v>
      </c>
      <c r="EA26" s="36">
        <f t="shared" si="53"/>
        <v>14</v>
      </c>
      <c r="EB26" s="36">
        <f t="shared" si="54"/>
        <v>14</v>
      </c>
      <c r="EC26" s="36">
        <f t="shared" si="55"/>
        <v>13</v>
      </c>
      <c r="ED26" s="36">
        <f t="shared" si="56"/>
        <v>13</v>
      </c>
      <c r="EE26" s="36">
        <f t="shared" si="57"/>
        <v>12</v>
      </c>
      <c r="EF26" s="36">
        <f t="shared" si="58"/>
        <v>12</v>
      </c>
      <c r="EG26" s="36">
        <f t="shared" si="59"/>
        <v>11</v>
      </c>
      <c r="EH26" s="36">
        <f t="shared" si="60"/>
        <v>11</v>
      </c>
      <c r="EI26" s="36">
        <f t="shared" si="61"/>
        <v>10</v>
      </c>
      <c r="EJ26" s="36">
        <f t="shared" si="62"/>
        <v>10</v>
      </c>
      <c r="EK26" s="36">
        <f t="shared" si="63"/>
        <v>9</v>
      </c>
      <c r="EL26" s="36">
        <f t="shared" si="64"/>
        <v>9</v>
      </c>
      <c r="EM26" s="36">
        <f t="shared" si="65"/>
        <v>8</v>
      </c>
      <c r="EN26" s="36">
        <f t="shared" si="66"/>
        <v>0</v>
      </c>
      <c r="EO26" s="149">
        <f t="shared" si="67"/>
        <v>0</v>
      </c>
      <c r="ES26" s="36">
        <f t="shared" si="129"/>
        <v>20</v>
      </c>
      <c r="ET26" s="138">
        <f t="shared" si="68"/>
        <v>19</v>
      </c>
      <c r="EU26" s="36">
        <f t="shared" si="69"/>
        <v>19</v>
      </c>
      <c r="EV26" s="36">
        <f t="shared" si="70"/>
        <v>18</v>
      </c>
      <c r="EW26" s="36">
        <f t="shared" si="71"/>
        <v>18</v>
      </c>
      <c r="EX26" s="36">
        <f t="shared" si="72"/>
        <v>17</v>
      </c>
      <c r="EY26" s="36">
        <f t="shared" si="73"/>
        <v>17</v>
      </c>
      <c r="EZ26" s="36">
        <f t="shared" si="74"/>
        <v>16</v>
      </c>
      <c r="FA26" s="36">
        <f t="shared" si="75"/>
        <v>16</v>
      </c>
      <c r="FB26" s="36">
        <f t="shared" si="76"/>
        <v>15</v>
      </c>
      <c r="FC26" s="36">
        <f t="shared" si="77"/>
        <v>15</v>
      </c>
      <c r="FD26" s="36">
        <f t="shared" si="78"/>
        <v>14</v>
      </c>
      <c r="FE26" s="36">
        <f t="shared" si="79"/>
        <v>14</v>
      </c>
      <c r="FF26" s="36">
        <f t="shared" si="80"/>
        <v>13</v>
      </c>
      <c r="FG26" s="36">
        <f t="shared" si="81"/>
        <v>13</v>
      </c>
      <c r="FH26" s="36">
        <f t="shared" si="82"/>
        <v>12</v>
      </c>
      <c r="FI26" s="36">
        <f t="shared" si="83"/>
        <v>12</v>
      </c>
      <c r="FJ26" s="36">
        <f t="shared" si="84"/>
        <v>11</v>
      </c>
      <c r="FK26" s="36">
        <f t="shared" si="85"/>
        <v>11</v>
      </c>
      <c r="FL26" s="36">
        <f t="shared" si="86"/>
        <v>10</v>
      </c>
      <c r="FM26" s="36">
        <f t="shared" si="87"/>
        <v>10</v>
      </c>
      <c r="FN26" s="36">
        <f t="shared" si="88"/>
        <v>9</v>
      </c>
      <c r="FO26" s="36">
        <f t="shared" si="89"/>
        <v>9</v>
      </c>
      <c r="FP26" s="36">
        <f t="shared" si="90"/>
        <v>8</v>
      </c>
      <c r="FQ26" s="36">
        <f t="shared" si="91"/>
        <v>8</v>
      </c>
      <c r="FR26" s="36">
        <f t="shared" si="92"/>
        <v>7</v>
      </c>
      <c r="FS26" s="36">
        <f t="shared" si="93"/>
        <v>0</v>
      </c>
      <c r="FT26" s="149">
        <f t="shared" si="94"/>
        <v>0</v>
      </c>
      <c r="FX26" s="36">
        <f t="shared" si="130"/>
        <v>20</v>
      </c>
      <c r="FY26" s="138">
        <f t="shared" si="95"/>
        <v>18</v>
      </c>
      <c r="FZ26" s="36">
        <f t="shared" si="96"/>
        <v>21</v>
      </c>
      <c r="GA26" s="36">
        <f t="shared" si="97"/>
        <v>20</v>
      </c>
      <c r="GB26" s="36">
        <f t="shared" si="98"/>
        <v>17</v>
      </c>
      <c r="GC26" s="36">
        <f t="shared" si="99"/>
        <v>16</v>
      </c>
      <c r="GD26" s="36">
        <f t="shared" si="100"/>
        <v>19</v>
      </c>
      <c r="GE26" s="36">
        <f t="shared" si="101"/>
        <v>18</v>
      </c>
      <c r="GF26" s="36">
        <f t="shared" si="102"/>
        <v>15</v>
      </c>
      <c r="GG26" s="36">
        <f t="shared" si="103"/>
        <v>14</v>
      </c>
      <c r="GH26" s="36">
        <f t="shared" si="104"/>
        <v>17</v>
      </c>
      <c r="GI26" s="36">
        <f t="shared" si="105"/>
        <v>16</v>
      </c>
      <c r="GJ26" s="36">
        <f t="shared" si="106"/>
        <v>13</v>
      </c>
      <c r="GK26" s="36">
        <f t="shared" si="107"/>
        <v>12</v>
      </c>
      <c r="GL26" s="36">
        <f t="shared" si="108"/>
        <v>15</v>
      </c>
      <c r="GM26" s="36">
        <f t="shared" si="109"/>
        <v>14</v>
      </c>
      <c r="GN26" s="36">
        <f t="shared" si="110"/>
        <v>11</v>
      </c>
      <c r="GO26" s="36">
        <f t="shared" si="111"/>
        <v>10</v>
      </c>
      <c r="GP26" s="36">
        <f t="shared" si="112"/>
        <v>13</v>
      </c>
      <c r="GQ26" s="36">
        <f t="shared" si="113"/>
        <v>12</v>
      </c>
      <c r="GR26" s="36">
        <f t="shared" si="114"/>
        <v>13</v>
      </c>
      <c r="GS26" s="36">
        <f t="shared" si="115"/>
        <v>12</v>
      </c>
      <c r="GT26" s="36" t="str">
        <f t="shared" si="116"/>
        <v>VL</v>
      </c>
      <c r="GU26" s="36" t="str">
        <f t="shared" si="117"/>
        <v>VL</v>
      </c>
      <c r="GV26" s="36">
        <f t="shared" si="118"/>
        <v>7</v>
      </c>
      <c r="GW26" s="36">
        <f t="shared" si="119"/>
        <v>6</v>
      </c>
      <c r="GX26" s="36">
        <f t="shared" si="120"/>
        <v>0</v>
      </c>
      <c r="GY26" s="149">
        <f t="shared" si="121"/>
        <v>0</v>
      </c>
      <c r="HD26" s="36">
        <f t="shared" si="131"/>
        <v>20</v>
      </c>
      <c r="HE26" s="36">
        <f t="shared" si="122"/>
        <v>0</v>
      </c>
      <c r="HF26" s="36">
        <f t="shared" si="123"/>
        <v>0</v>
      </c>
      <c r="HG26" s="36">
        <f t="shared" si="124"/>
        <v>0</v>
      </c>
      <c r="HK26" s="152"/>
      <c r="HM26" s="153"/>
      <c r="HQ26" s="159" t="str">
        <f t="shared" si="125"/>
        <v/>
      </c>
      <c r="HR26" s="160" t="str">
        <f t="shared" si="126"/>
        <v/>
      </c>
      <c r="HU26" s="36">
        <v>4</v>
      </c>
      <c r="HV26" s="36">
        <f t="shared" si="132"/>
        <v>20</v>
      </c>
      <c r="HW26" s="138">
        <v>20</v>
      </c>
      <c r="HX26" s="36">
        <v>18</v>
      </c>
      <c r="HY26" s="36">
        <v>17</v>
      </c>
      <c r="HZ26" s="36">
        <v>19</v>
      </c>
      <c r="IA26" s="36">
        <v>18</v>
      </c>
      <c r="IB26" s="36">
        <v>16</v>
      </c>
      <c r="IC26" s="36">
        <v>15</v>
      </c>
      <c r="ID26" s="36">
        <v>17</v>
      </c>
      <c r="IE26" s="36">
        <v>16</v>
      </c>
      <c r="IF26" s="36">
        <v>14</v>
      </c>
      <c r="IG26" s="36">
        <v>13</v>
      </c>
      <c r="IH26" s="36">
        <v>15</v>
      </c>
      <c r="II26" s="36">
        <v>14</v>
      </c>
      <c r="IJ26" s="36">
        <v>12</v>
      </c>
      <c r="IK26" s="36">
        <v>11</v>
      </c>
      <c r="IL26" s="36">
        <v>13</v>
      </c>
      <c r="IM26" s="36">
        <v>12</v>
      </c>
      <c r="IN26" s="36">
        <v>10</v>
      </c>
      <c r="IO26" s="36">
        <v>9</v>
      </c>
      <c r="IP26" s="36">
        <v>11</v>
      </c>
      <c r="IQ26" s="36">
        <v>10</v>
      </c>
      <c r="IR26" s="36">
        <v>8</v>
      </c>
      <c r="IS26" s="36">
        <v>7</v>
      </c>
      <c r="IT26" s="36">
        <v>9</v>
      </c>
      <c r="IU26" s="36">
        <v>8</v>
      </c>
      <c r="IV26" s="36">
        <v>0</v>
      </c>
      <c r="IW26" s="149">
        <v>0</v>
      </c>
      <c r="IY26" s="36">
        <f t="shared" si="127"/>
        <v>0</v>
      </c>
    </row>
    <row r="27" spans="1:267" ht="15.9" hidden="1" customHeight="1" x14ac:dyDescent="0.3">
      <c r="A27" s="104">
        <f t="shared" si="137"/>
        <v>21</v>
      </c>
      <c r="B27" s="99"/>
      <c r="C27" s="97"/>
      <c r="D27" s="96"/>
      <c r="E27" s="10"/>
      <c r="F27" s="9"/>
      <c r="G27" s="97"/>
      <c r="H27" s="98"/>
      <c r="I27" s="91"/>
      <c r="U27" s="67"/>
      <c r="AE27" s="36">
        <f t="shared" si="19"/>
        <v>0</v>
      </c>
      <c r="AF27" s="36">
        <f t="shared" si="142"/>
        <v>21</v>
      </c>
      <c r="AH27" s="36">
        <v>5</v>
      </c>
      <c r="AI27" s="138">
        <f t="shared" si="21"/>
        <v>21</v>
      </c>
      <c r="AJ27" s="36">
        <f>AF28</f>
        <v>22</v>
      </c>
      <c r="AK27" s="149">
        <f>AI29</f>
        <v>23</v>
      </c>
      <c r="AL27" s="36">
        <f t="shared" si="143"/>
        <v>21</v>
      </c>
      <c r="AM27" s="36">
        <f>AL28</f>
        <v>22</v>
      </c>
      <c r="AN27" s="149">
        <f>AL26</f>
        <v>20</v>
      </c>
      <c r="AO27" s="138">
        <f t="shared" si="144"/>
        <v>20</v>
      </c>
      <c r="AP27" s="36">
        <f>AO28</f>
        <v>21</v>
      </c>
      <c r="AQ27" s="149">
        <f>AO26</f>
        <v>19</v>
      </c>
      <c r="AR27" s="36">
        <f t="shared" si="145"/>
        <v>20</v>
      </c>
      <c r="AS27" s="36">
        <f>AR28</f>
        <v>21</v>
      </c>
      <c r="AT27" s="149">
        <f>AR29</f>
        <v>22</v>
      </c>
      <c r="AU27" s="138">
        <f t="shared" si="146"/>
        <v>19</v>
      </c>
      <c r="AV27" s="36">
        <f>AU28</f>
        <v>20</v>
      </c>
      <c r="AW27" s="149">
        <f>AU29</f>
        <v>21</v>
      </c>
      <c r="AX27" s="36">
        <f t="shared" si="147"/>
        <v>19</v>
      </c>
      <c r="AY27" s="36">
        <f>AX28</f>
        <v>20</v>
      </c>
      <c r="AZ27" s="149">
        <f>AX26</f>
        <v>18</v>
      </c>
      <c r="BA27" s="138">
        <f t="shared" si="148"/>
        <v>18</v>
      </c>
      <c r="BB27" s="36">
        <f>BA28</f>
        <v>19</v>
      </c>
      <c r="BC27" s="149">
        <f>BA26</f>
        <v>17</v>
      </c>
      <c r="BD27" s="36">
        <f t="shared" si="149"/>
        <v>18</v>
      </c>
      <c r="BE27" s="36">
        <f>BD28</f>
        <v>19</v>
      </c>
      <c r="BF27" s="149">
        <f>BD29</f>
        <v>20</v>
      </c>
      <c r="BG27" s="138">
        <f t="shared" si="150"/>
        <v>17</v>
      </c>
      <c r="BH27" s="36">
        <f>BG28</f>
        <v>18</v>
      </c>
      <c r="BI27" s="149">
        <f>BG29</f>
        <v>19</v>
      </c>
      <c r="BJ27" s="138">
        <f t="shared" si="151"/>
        <v>17</v>
      </c>
      <c r="BK27" s="36">
        <f>BJ28</f>
        <v>18</v>
      </c>
      <c r="BL27" s="149">
        <f>BJ26</f>
        <v>16</v>
      </c>
      <c r="BM27" s="138">
        <f t="shared" si="152"/>
        <v>16</v>
      </c>
      <c r="BN27" s="36">
        <f>BM28</f>
        <v>17</v>
      </c>
      <c r="BO27" s="149">
        <f>BM26</f>
        <v>15</v>
      </c>
      <c r="BP27" s="36">
        <f t="shared" si="153"/>
        <v>16</v>
      </c>
      <c r="BQ27" s="36">
        <f>BP28</f>
        <v>17</v>
      </c>
      <c r="BR27" s="149">
        <v>18</v>
      </c>
      <c r="BS27" s="138">
        <f t="shared" si="154"/>
        <v>15</v>
      </c>
      <c r="BT27" s="36">
        <f>BS28</f>
        <v>16</v>
      </c>
      <c r="BU27" s="149">
        <v>17</v>
      </c>
      <c r="BV27" s="36">
        <f t="shared" si="155"/>
        <v>15</v>
      </c>
      <c r="BW27" s="36">
        <f>BV28</f>
        <v>16</v>
      </c>
      <c r="BX27" s="149">
        <f>BV26</f>
        <v>14</v>
      </c>
      <c r="BY27" s="138">
        <f t="shared" si="156"/>
        <v>14</v>
      </c>
      <c r="BZ27" s="36">
        <f>BY28</f>
        <v>15</v>
      </c>
      <c r="CA27" s="149">
        <f>BY26</f>
        <v>13</v>
      </c>
      <c r="CB27" s="36">
        <f t="shared" si="157"/>
        <v>14</v>
      </c>
      <c r="CC27" s="36">
        <f>CB28</f>
        <v>15</v>
      </c>
      <c r="CD27" s="149">
        <f>CB29</f>
        <v>16</v>
      </c>
      <c r="CE27" s="138">
        <f t="shared" si="158"/>
        <v>13</v>
      </c>
      <c r="CF27" s="36">
        <f>CE28</f>
        <v>14</v>
      </c>
      <c r="CG27" s="149">
        <f>CE29</f>
        <v>15</v>
      </c>
      <c r="CH27" s="138">
        <f t="shared" si="141"/>
        <v>13</v>
      </c>
      <c r="CI27" s="36">
        <f>CH28</f>
        <v>14</v>
      </c>
      <c r="CJ27" s="149">
        <f>CH26</f>
        <v>12</v>
      </c>
      <c r="CK27" s="138">
        <f t="shared" si="138"/>
        <v>12</v>
      </c>
      <c r="CL27" s="36">
        <f>CK28</f>
        <v>13</v>
      </c>
      <c r="CM27" s="149">
        <f>CK26</f>
        <v>11</v>
      </c>
      <c r="CN27" s="138">
        <f t="shared" si="139"/>
        <v>12</v>
      </c>
      <c r="CO27" s="36">
        <f>CN28</f>
        <v>13</v>
      </c>
      <c r="CP27" s="149">
        <f>CN24</f>
        <v>9</v>
      </c>
      <c r="CQ27" s="138">
        <f t="shared" si="140"/>
        <v>11</v>
      </c>
      <c r="CR27" s="36">
        <f>CQ28</f>
        <v>12</v>
      </c>
      <c r="CS27" s="149">
        <f>CQ24</f>
        <v>8</v>
      </c>
      <c r="CT27" s="36">
        <f>AF17</f>
        <v>11</v>
      </c>
      <c r="CU27" s="36" t="str">
        <f>$AE$1</f>
        <v>VL</v>
      </c>
      <c r="CV27" s="36">
        <f>CT23</f>
        <v>7</v>
      </c>
      <c r="CW27" s="138">
        <f>AF16</f>
        <v>10</v>
      </c>
      <c r="CX27" s="36" t="str">
        <f>$AE$1</f>
        <v>VL</v>
      </c>
      <c r="CY27" s="149">
        <f>CW23</f>
        <v>6</v>
      </c>
      <c r="CZ27" s="138"/>
      <c r="DC27" s="138"/>
      <c r="DE27" s="149"/>
      <c r="DI27" s="138"/>
      <c r="DK27" s="149"/>
      <c r="DN27" s="36">
        <f t="shared" si="128"/>
        <v>21</v>
      </c>
      <c r="DO27" s="138">
        <f t="shared" si="41"/>
        <v>21</v>
      </c>
      <c r="DP27" s="36">
        <f t="shared" si="42"/>
        <v>21</v>
      </c>
      <c r="DQ27" s="36">
        <f t="shared" si="43"/>
        <v>20</v>
      </c>
      <c r="DR27" s="36">
        <f t="shared" si="44"/>
        <v>20</v>
      </c>
      <c r="DS27" s="36">
        <f t="shared" si="45"/>
        <v>19</v>
      </c>
      <c r="DT27" s="36">
        <f t="shared" si="46"/>
        <v>19</v>
      </c>
      <c r="DU27" s="36">
        <f t="shared" si="47"/>
        <v>18</v>
      </c>
      <c r="DV27" s="36">
        <f t="shared" si="48"/>
        <v>18</v>
      </c>
      <c r="DW27" s="36">
        <f t="shared" si="49"/>
        <v>17</v>
      </c>
      <c r="DX27" s="36">
        <f t="shared" si="50"/>
        <v>17</v>
      </c>
      <c r="DY27" s="36">
        <f t="shared" si="51"/>
        <v>16</v>
      </c>
      <c r="DZ27" s="36">
        <f t="shared" si="52"/>
        <v>16</v>
      </c>
      <c r="EA27" s="36">
        <f t="shared" si="53"/>
        <v>15</v>
      </c>
      <c r="EB27" s="36">
        <f t="shared" si="54"/>
        <v>15</v>
      </c>
      <c r="EC27" s="36">
        <f t="shared" si="55"/>
        <v>14</v>
      </c>
      <c r="ED27" s="36">
        <f t="shared" si="56"/>
        <v>14</v>
      </c>
      <c r="EE27" s="36">
        <f t="shared" si="57"/>
        <v>13</v>
      </c>
      <c r="EF27" s="36">
        <f t="shared" si="58"/>
        <v>13</v>
      </c>
      <c r="EG27" s="36">
        <f t="shared" si="59"/>
        <v>12</v>
      </c>
      <c r="EH27" s="36">
        <f t="shared" si="60"/>
        <v>12</v>
      </c>
      <c r="EI27" s="36">
        <f t="shared" si="61"/>
        <v>11</v>
      </c>
      <c r="EJ27" s="36">
        <f t="shared" si="62"/>
        <v>11</v>
      </c>
      <c r="EK27" s="36">
        <f t="shared" si="63"/>
        <v>10</v>
      </c>
      <c r="EL27" s="36">
        <f t="shared" si="64"/>
        <v>0</v>
      </c>
      <c r="EM27" s="36">
        <f t="shared" si="65"/>
        <v>0</v>
      </c>
      <c r="EN27" s="36">
        <f t="shared" si="66"/>
        <v>0</v>
      </c>
      <c r="EO27" s="149">
        <f t="shared" si="67"/>
        <v>0</v>
      </c>
      <c r="ES27" s="36">
        <f t="shared" si="129"/>
        <v>21</v>
      </c>
      <c r="ET27" s="138">
        <f t="shared" si="68"/>
        <v>22</v>
      </c>
      <c r="EU27" s="36">
        <f t="shared" si="69"/>
        <v>22</v>
      </c>
      <c r="EV27" s="36">
        <f t="shared" si="70"/>
        <v>21</v>
      </c>
      <c r="EW27" s="36">
        <f t="shared" si="71"/>
        <v>21</v>
      </c>
      <c r="EX27" s="36">
        <f t="shared" si="72"/>
        <v>20</v>
      </c>
      <c r="EY27" s="36">
        <f t="shared" si="73"/>
        <v>20</v>
      </c>
      <c r="EZ27" s="36">
        <f t="shared" si="74"/>
        <v>19</v>
      </c>
      <c r="FA27" s="36">
        <f t="shared" si="75"/>
        <v>19</v>
      </c>
      <c r="FB27" s="36">
        <f t="shared" si="76"/>
        <v>18</v>
      </c>
      <c r="FC27" s="36">
        <f t="shared" si="77"/>
        <v>18</v>
      </c>
      <c r="FD27" s="36">
        <f t="shared" si="78"/>
        <v>17</v>
      </c>
      <c r="FE27" s="36">
        <f t="shared" si="79"/>
        <v>17</v>
      </c>
      <c r="FF27" s="36">
        <f t="shared" si="80"/>
        <v>16</v>
      </c>
      <c r="FG27" s="36">
        <f t="shared" si="81"/>
        <v>16</v>
      </c>
      <c r="FH27" s="36">
        <f t="shared" si="82"/>
        <v>15</v>
      </c>
      <c r="FI27" s="36">
        <f t="shared" si="83"/>
        <v>15</v>
      </c>
      <c r="FJ27" s="36">
        <f t="shared" si="84"/>
        <v>14</v>
      </c>
      <c r="FK27" s="36">
        <f t="shared" si="85"/>
        <v>14</v>
      </c>
      <c r="FL27" s="36">
        <f t="shared" si="86"/>
        <v>13</v>
      </c>
      <c r="FM27" s="36">
        <f t="shared" si="87"/>
        <v>13</v>
      </c>
      <c r="FN27" s="36">
        <f t="shared" si="88"/>
        <v>12</v>
      </c>
      <c r="FO27" s="36" t="str">
        <f t="shared" si="89"/>
        <v>VL</v>
      </c>
      <c r="FP27" s="36" t="str">
        <f t="shared" si="90"/>
        <v>VL</v>
      </c>
      <c r="FQ27" s="36">
        <f t="shared" si="91"/>
        <v>0</v>
      </c>
      <c r="FR27" s="36">
        <f t="shared" si="92"/>
        <v>0</v>
      </c>
      <c r="FS27" s="36">
        <f t="shared" si="93"/>
        <v>0</v>
      </c>
      <c r="FT27" s="149">
        <f t="shared" si="94"/>
        <v>0</v>
      </c>
      <c r="FX27" s="36">
        <f t="shared" si="130"/>
        <v>21</v>
      </c>
      <c r="FY27" s="138">
        <f t="shared" si="95"/>
        <v>23</v>
      </c>
      <c r="FZ27" s="36">
        <f t="shared" si="96"/>
        <v>20</v>
      </c>
      <c r="GA27" s="36">
        <f t="shared" si="97"/>
        <v>19</v>
      </c>
      <c r="GB27" s="36">
        <f t="shared" si="98"/>
        <v>22</v>
      </c>
      <c r="GC27" s="36">
        <f t="shared" si="99"/>
        <v>21</v>
      </c>
      <c r="GD27" s="36">
        <f t="shared" si="100"/>
        <v>18</v>
      </c>
      <c r="GE27" s="36">
        <f t="shared" si="101"/>
        <v>17</v>
      </c>
      <c r="GF27" s="36">
        <f t="shared" si="102"/>
        <v>20</v>
      </c>
      <c r="GG27" s="36">
        <f t="shared" si="103"/>
        <v>19</v>
      </c>
      <c r="GH27" s="36">
        <f t="shared" si="104"/>
        <v>16</v>
      </c>
      <c r="GI27" s="36">
        <f t="shared" si="105"/>
        <v>15</v>
      </c>
      <c r="GJ27" s="36">
        <f t="shared" si="106"/>
        <v>18</v>
      </c>
      <c r="GK27" s="36">
        <f t="shared" si="107"/>
        <v>17</v>
      </c>
      <c r="GL27" s="36">
        <f t="shared" si="108"/>
        <v>14</v>
      </c>
      <c r="GM27" s="36">
        <f t="shared" si="109"/>
        <v>13</v>
      </c>
      <c r="GN27" s="36">
        <f t="shared" si="110"/>
        <v>16</v>
      </c>
      <c r="GO27" s="36">
        <f t="shared" si="111"/>
        <v>15</v>
      </c>
      <c r="GP27" s="36">
        <f t="shared" si="112"/>
        <v>12</v>
      </c>
      <c r="GQ27" s="36">
        <f t="shared" si="113"/>
        <v>11</v>
      </c>
      <c r="GR27" s="36">
        <f t="shared" si="114"/>
        <v>9</v>
      </c>
      <c r="GS27" s="36">
        <f t="shared" si="115"/>
        <v>8</v>
      </c>
      <c r="GT27" s="36">
        <f t="shared" si="116"/>
        <v>7</v>
      </c>
      <c r="GU27" s="36">
        <f t="shared" si="117"/>
        <v>6</v>
      </c>
      <c r="GV27" s="36">
        <f t="shared" si="118"/>
        <v>0</v>
      </c>
      <c r="GW27" s="36">
        <f t="shared" si="119"/>
        <v>0</v>
      </c>
      <c r="GX27" s="36">
        <f t="shared" si="120"/>
        <v>0</v>
      </c>
      <c r="GY27" s="149">
        <f t="shared" si="121"/>
        <v>0</v>
      </c>
      <c r="HD27" s="36">
        <f t="shared" si="131"/>
        <v>21</v>
      </c>
      <c r="HE27" s="36">
        <f t="shared" si="122"/>
        <v>0</v>
      </c>
      <c r="HF27" s="36">
        <f t="shared" si="123"/>
        <v>0</v>
      </c>
      <c r="HG27" s="36">
        <f t="shared" si="124"/>
        <v>0</v>
      </c>
      <c r="HJ27" s="36">
        <f>HJ25+1</f>
        <v>11</v>
      </c>
      <c r="HK27" s="152" t="str">
        <f>IF(HE17=0,"",HE17)</f>
        <v/>
      </c>
      <c r="HL27" s="36" t="str">
        <f>IF(HF17=0,"",HF17)</f>
        <v/>
      </c>
      <c r="HM27" s="153" t="str">
        <f>IF(HG17=0,"",HG17)</f>
        <v/>
      </c>
      <c r="HQ27" s="159" t="str">
        <f t="shared" si="125"/>
        <v/>
      </c>
      <c r="HR27" s="160" t="str">
        <f t="shared" si="126"/>
        <v/>
      </c>
      <c r="HU27" s="36">
        <v>5</v>
      </c>
      <c r="HV27" s="36">
        <f t="shared" si="132"/>
        <v>21</v>
      </c>
      <c r="HW27" s="138">
        <v>21</v>
      </c>
      <c r="HX27" s="36">
        <v>19</v>
      </c>
      <c r="HY27" s="36">
        <v>18</v>
      </c>
      <c r="HZ27" s="36">
        <v>20</v>
      </c>
      <c r="IA27" s="36">
        <v>19</v>
      </c>
      <c r="IB27" s="36">
        <v>17</v>
      </c>
      <c r="IC27" s="36">
        <v>16</v>
      </c>
      <c r="ID27" s="36">
        <v>18</v>
      </c>
      <c r="IE27" s="36">
        <v>17</v>
      </c>
      <c r="IF27" s="36">
        <v>15</v>
      </c>
      <c r="IG27" s="36">
        <v>14</v>
      </c>
      <c r="IH27" s="36">
        <v>16</v>
      </c>
      <c r="II27" s="36">
        <v>15</v>
      </c>
      <c r="IJ27" s="36">
        <v>13</v>
      </c>
      <c r="IK27" s="36">
        <v>12</v>
      </c>
      <c r="IL27" s="36">
        <v>14</v>
      </c>
      <c r="IM27" s="36">
        <v>13</v>
      </c>
      <c r="IN27" s="36">
        <v>11</v>
      </c>
      <c r="IO27" s="36">
        <v>10</v>
      </c>
      <c r="IP27" s="36">
        <v>12</v>
      </c>
      <c r="IQ27" s="36">
        <v>11</v>
      </c>
      <c r="IR27" s="36">
        <v>9</v>
      </c>
      <c r="IS27" s="36">
        <v>8</v>
      </c>
      <c r="IT27" s="36">
        <v>0</v>
      </c>
      <c r="IU27" s="36">
        <v>0</v>
      </c>
      <c r="IV27" s="36">
        <v>0</v>
      </c>
      <c r="IW27" s="149">
        <v>0</v>
      </c>
      <c r="IY27" s="36">
        <f t="shared" si="127"/>
        <v>0</v>
      </c>
    </row>
    <row r="28" spans="1:267" ht="15.9" hidden="1" customHeight="1" x14ac:dyDescent="0.3">
      <c r="A28" s="104">
        <f t="shared" si="137"/>
        <v>22</v>
      </c>
      <c r="B28" s="91"/>
      <c r="C28" s="90"/>
      <c r="D28" s="96"/>
      <c r="E28" s="10"/>
      <c r="F28" s="9"/>
      <c r="G28" s="39"/>
      <c r="H28" s="118"/>
      <c r="I28" s="91"/>
      <c r="U28" s="67"/>
      <c r="AE28" s="36">
        <f t="shared" si="19"/>
        <v>0</v>
      </c>
      <c r="AF28" s="36">
        <f t="shared" si="142"/>
        <v>22</v>
      </c>
      <c r="AH28" s="36">
        <v>6</v>
      </c>
      <c r="AI28" s="138">
        <f t="shared" si="21"/>
        <v>22</v>
      </c>
      <c r="AJ28" s="36">
        <f>AF27</f>
        <v>21</v>
      </c>
      <c r="AK28" s="149">
        <f>AI30</f>
        <v>24</v>
      </c>
      <c r="AL28" s="36">
        <f t="shared" si="143"/>
        <v>22</v>
      </c>
      <c r="AM28" s="36">
        <f>AL27</f>
        <v>21</v>
      </c>
      <c r="AN28" s="149">
        <f>AL29</f>
        <v>23</v>
      </c>
      <c r="AO28" s="138">
        <f t="shared" si="144"/>
        <v>21</v>
      </c>
      <c r="AP28" s="36">
        <f>AO27</f>
        <v>20</v>
      </c>
      <c r="AQ28" s="149">
        <f>AO29</f>
        <v>22</v>
      </c>
      <c r="AR28" s="36">
        <f t="shared" si="145"/>
        <v>21</v>
      </c>
      <c r="AS28" s="36">
        <f>AR27</f>
        <v>20</v>
      </c>
      <c r="AT28" s="149">
        <f>AR30</f>
        <v>23</v>
      </c>
      <c r="AU28" s="138">
        <f t="shared" si="146"/>
        <v>20</v>
      </c>
      <c r="AV28" s="36">
        <f>AU27</f>
        <v>19</v>
      </c>
      <c r="AW28" s="149">
        <f>AU30</f>
        <v>22</v>
      </c>
      <c r="AX28" s="36">
        <f t="shared" si="147"/>
        <v>20</v>
      </c>
      <c r="AY28" s="36">
        <f>AX27</f>
        <v>19</v>
      </c>
      <c r="AZ28" s="149">
        <f>AX29</f>
        <v>21</v>
      </c>
      <c r="BA28" s="138">
        <f t="shared" si="148"/>
        <v>19</v>
      </c>
      <c r="BB28" s="36">
        <f>BA27</f>
        <v>18</v>
      </c>
      <c r="BC28" s="149">
        <f>BA29</f>
        <v>20</v>
      </c>
      <c r="BD28" s="36">
        <f t="shared" si="149"/>
        <v>19</v>
      </c>
      <c r="BE28" s="36">
        <f>BD27</f>
        <v>18</v>
      </c>
      <c r="BF28" s="36">
        <f>BD30</f>
        <v>21</v>
      </c>
      <c r="BG28" s="138">
        <f t="shared" si="150"/>
        <v>18</v>
      </c>
      <c r="BH28" s="36">
        <f>BG27</f>
        <v>17</v>
      </c>
      <c r="BI28" s="149">
        <f>BG30</f>
        <v>20</v>
      </c>
      <c r="BJ28" s="138">
        <f t="shared" si="151"/>
        <v>18</v>
      </c>
      <c r="BK28" s="36">
        <f>BJ27</f>
        <v>17</v>
      </c>
      <c r="BL28" s="149">
        <f>BJ29</f>
        <v>19</v>
      </c>
      <c r="BM28" s="138">
        <f t="shared" si="152"/>
        <v>17</v>
      </c>
      <c r="BN28" s="36">
        <f>BM27</f>
        <v>16</v>
      </c>
      <c r="BO28" s="149">
        <f>BM29</f>
        <v>18</v>
      </c>
      <c r="BP28" s="36">
        <f t="shared" si="153"/>
        <v>17</v>
      </c>
      <c r="BQ28" s="36">
        <f>BP27</f>
        <v>16</v>
      </c>
      <c r="BR28" s="149">
        <f>BP31</f>
        <v>20</v>
      </c>
      <c r="BS28" s="138">
        <f t="shared" si="154"/>
        <v>16</v>
      </c>
      <c r="BT28" s="36">
        <f>BS27</f>
        <v>15</v>
      </c>
      <c r="BU28" s="149">
        <f>BS31</f>
        <v>19</v>
      </c>
      <c r="BV28" s="36">
        <f t="shared" si="155"/>
        <v>16</v>
      </c>
      <c r="BW28" s="36">
        <f>BV27</f>
        <v>15</v>
      </c>
      <c r="BX28" s="149">
        <f>BV29</f>
        <v>17</v>
      </c>
      <c r="BY28" s="138">
        <f t="shared" si="156"/>
        <v>15</v>
      </c>
      <c r="BZ28" s="36">
        <f>BY27</f>
        <v>14</v>
      </c>
      <c r="CA28" s="149">
        <f>BY29</f>
        <v>16</v>
      </c>
      <c r="CB28" s="36">
        <f t="shared" si="157"/>
        <v>15</v>
      </c>
      <c r="CC28" s="36">
        <f>CB27</f>
        <v>14</v>
      </c>
      <c r="CD28" s="149">
        <f>CB30</f>
        <v>17</v>
      </c>
      <c r="CE28" s="138">
        <f t="shared" si="158"/>
        <v>14</v>
      </c>
      <c r="CF28" s="36">
        <f>CE27</f>
        <v>13</v>
      </c>
      <c r="CG28" s="149">
        <f>CE30</f>
        <v>16</v>
      </c>
      <c r="CH28" s="138">
        <f t="shared" si="141"/>
        <v>14</v>
      </c>
      <c r="CI28" s="36">
        <f>CH27</f>
        <v>13</v>
      </c>
      <c r="CJ28" s="149" t="str">
        <f>CI29</f>
        <v>VL</v>
      </c>
      <c r="CK28" s="138">
        <f t="shared" si="138"/>
        <v>13</v>
      </c>
      <c r="CL28" s="36">
        <f>CK27</f>
        <v>12</v>
      </c>
      <c r="CM28" s="149" t="str">
        <f>CL29</f>
        <v>VL</v>
      </c>
      <c r="CN28" s="138">
        <f t="shared" si="139"/>
        <v>13</v>
      </c>
      <c r="CO28" s="36">
        <f>CN27</f>
        <v>12</v>
      </c>
      <c r="CP28" s="149">
        <f>CN26</f>
        <v>11</v>
      </c>
      <c r="CQ28" s="138">
        <f t="shared" si="140"/>
        <v>12</v>
      </c>
      <c r="CR28" s="36">
        <f>CQ27</f>
        <v>11</v>
      </c>
      <c r="CS28" s="149">
        <f>CQ26</f>
        <v>10</v>
      </c>
      <c r="CW28" s="138"/>
      <c r="CY28" s="149"/>
      <c r="DC28" s="138"/>
      <c r="DE28" s="149"/>
      <c r="DI28" s="138"/>
      <c r="DK28" s="149"/>
      <c r="DN28" s="36">
        <f t="shared" si="128"/>
        <v>22</v>
      </c>
      <c r="DO28" s="138">
        <f t="shared" si="41"/>
        <v>22</v>
      </c>
      <c r="DP28" s="36">
        <f t="shared" si="42"/>
        <v>22</v>
      </c>
      <c r="DQ28" s="36">
        <f t="shared" si="43"/>
        <v>21</v>
      </c>
      <c r="DR28" s="36">
        <f t="shared" si="44"/>
        <v>21</v>
      </c>
      <c r="DS28" s="36">
        <f t="shared" si="45"/>
        <v>20</v>
      </c>
      <c r="DT28" s="36">
        <f t="shared" si="46"/>
        <v>20</v>
      </c>
      <c r="DU28" s="36">
        <f t="shared" si="47"/>
        <v>19</v>
      </c>
      <c r="DV28" s="36">
        <f t="shared" si="48"/>
        <v>19</v>
      </c>
      <c r="DW28" s="36">
        <f t="shared" si="49"/>
        <v>18</v>
      </c>
      <c r="DX28" s="36">
        <f t="shared" si="50"/>
        <v>18</v>
      </c>
      <c r="DY28" s="36">
        <f t="shared" si="51"/>
        <v>17</v>
      </c>
      <c r="DZ28" s="36">
        <f t="shared" si="52"/>
        <v>17</v>
      </c>
      <c r="EA28" s="36">
        <f t="shared" si="53"/>
        <v>16</v>
      </c>
      <c r="EB28" s="36">
        <f t="shared" si="54"/>
        <v>16</v>
      </c>
      <c r="EC28" s="36">
        <f t="shared" si="55"/>
        <v>15</v>
      </c>
      <c r="ED28" s="36">
        <f t="shared" si="56"/>
        <v>15</v>
      </c>
      <c r="EE28" s="36">
        <f t="shared" si="57"/>
        <v>14</v>
      </c>
      <c r="EF28" s="36">
        <f t="shared" si="58"/>
        <v>14</v>
      </c>
      <c r="EG28" s="36">
        <f t="shared" si="59"/>
        <v>13</v>
      </c>
      <c r="EH28" s="36">
        <f t="shared" si="60"/>
        <v>13</v>
      </c>
      <c r="EI28" s="36">
        <f t="shared" si="61"/>
        <v>12</v>
      </c>
      <c r="EJ28" s="36">
        <f t="shared" si="62"/>
        <v>0</v>
      </c>
      <c r="EK28" s="36">
        <f t="shared" si="63"/>
        <v>0</v>
      </c>
      <c r="EL28" s="36">
        <f t="shared" si="64"/>
        <v>0</v>
      </c>
      <c r="EM28" s="36">
        <f t="shared" si="65"/>
        <v>0</v>
      </c>
      <c r="EN28" s="36">
        <f t="shared" si="66"/>
        <v>0</v>
      </c>
      <c r="EO28" s="149">
        <f t="shared" si="67"/>
        <v>0</v>
      </c>
      <c r="ES28" s="36">
        <f t="shared" si="129"/>
        <v>22</v>
      </c>
      <c r="ET28" s="138">
        <f t="shared" si="68"/>
        <v>21</v>
      </c>
      <c r="EU28" s="36">
        <f t="shared" si="69"/>
        <v>21</v>
      </c>
      <c r="EV28" s="36">
        <f t="shared" si="70"/>
        <v>20</v>
      </c>
      <c r="EW28" s="36">
        <f t="shared" si="71"/>
        <v>20</v>
      </c>
      <c r="EX28" s="36">
        <f t="shared" si="72"/>
        <v>19</v>
      </c>
      <c r="EY28" s="36">
        <f t="shared" si="73"/>
        <v>19</v>
      </c>
      <c r="EZ28" s="36">
        <f t="shared" si="74"/>
        <v>18</v>
      </c>
      <c r="FA28" s="36">
        <f t="shared" si="75"/>
        <v>18</v>
      </c>
      <c r="FB28" s="36">
        <f t="shared" si="76"/>
        <v>17</v>
      </c>
      <c r="FC28" s="36">
        <f t="shared" si="77"/>
        <v>17</v>
      </c>
      <c r="FD28" s="36">
        <f t="shared" si="78"/>
        <v>16</v>
      </c>
      <c r="FE28" s="36">
        <f t="shared" si="79"/>
        <v>16</v>
      </c>
      <c r="FF28" s="36">
        <f t="shared" si="80"/>
        <v>15</v>
      </c>
      <c r="FG28" s="36">
        <f t="shared" si="81"/>
        <v>15</v>
      </c>
      <c r="FH28" s="36">
        <f t="shared" si="82"/>
        <v>14</v>
      </c>
      <c r="FI28" s="36">
        <f t="shared" si="83"/>
        <v>14</v>
      </c>
      <c r="FJ28" s="36">
        <f t="shared" si="84"/>
        <v>13</v>
      </c>
      <c r="FK28" s="36">
        <f t="shared" si="85"/>
        <v>13</v>
      </c>
      <c r="FL28" s="36">
        <f t="shared" si="86"/>
        <v>12</v>
      </c>
      <c r="FM28" s="36">
        <f t="shared" si="87"/>
        <v>12</v>
      </c>
      <c r="FN28" s="36">
        <f t="shared" si="88"/>
        <v>11</v>
      </c>
      <c r="FO28" s="36">
        <f t="shared" si="89"/>
        <v>0</v>
      </c>
      <c r="FP28" s="36">
        <f t="shared" si="90"/>
        <v>0</v>
      </c>
      <c r="FQ28" s="36">
        <f t="shared" si="91"/>
        <v>0</v>
      </c>
      <c r="FR28" s="36">
        <f t="shared" si="92"/>
        <v>0</v>
      </c>
      <c r="FS28" s="36">
        <f t="shared" si="93"/>
        <v>0</v>
      </c>
      <c r="FT28" s="149">
        <f t="shared" si="94"/>
        <v>0</v>
      </c>
      <c r="FX28" s="36">
        <f t="shared" si="130"/>
        <v>22</v>
      </c>
      <c r="FY28" s="138">
        <f t="shared" si="95"/>
        <v>24</v>
      </c>
      <c r="FZ28" s="36">
        <f t="shared" si="96"/>
        <v>23</v>
      </c>
      <c r="GA28" s="36">
        <f t="shared" si="97"/>
        <v>22</v>
      </c>
      <c r="GB28" s="36">
        <f t="shared" si="98"/>
        <v>23</v>
      </c>
      <c r="GC28" s="36">
        <f t="shared" si="99"/>
        <v>22</v>
      </c>
      <c r="GD28" s="36">
        <f t="shared" si="100"/>
        <v>21</v>
      </c>
      <c r="GE28" s="36">
        <f t="shared" si="101"/>
        <v>20</v>
      </c>
      <c r="GF28" s="36">
        <f t="shared" si="102"/>
        <v>21</v>
      </c>
      <c r="GG28" s="36">
        <f t="shared" si="103"/>
        <v>20</v>
      </c>
      <c r="GH28" s="36">
        <f t="shared" si="104"/>
        <v>19</v>
      </c>
      <c r="GI28" s="36">
        <f t="shared" si="105"/>
        <v>18</v>
      </c>
      <c r="GJ28" s="36">
        <f t="shared" si="106"/>
        <v>20</v>
      </c>
      <c r="GK28" s="36">
        <f t="shared" si="107"/>
        <v>19</v>
      </c>
      <c r="GL28" s="36">
        <f t="shared" si="108"/>
        <v>17</v>
      </c>
      <c r="GM28" s="36">
        <f t="shared" si="109"/>
        <v>16</v>
      </c>
      <c r="GN28" s="36">
        <f t="shared" si="110"/>
        <v>17</v>
      </c>
      <c r="GO28" s="36">
        <f t="shared" si="111"/>
        <v>16</v>
      </c>
      <c r="GP28" s="36" t="str">
        <f t="shared" si="112"/>
        <v>VL</v>
      </c>
      <c r="GQ28" s="36" t="str">
        <f t="shared" si="113"/>
        <v>VL</v>
      </c>
      <c r="GR28" s="36">
        <f t="shared" si="114"/>
        <v>11</v>
      </c>
      <c r="GS28" s="36">
        <f t="shared" si="115"/>
        <v>10</v>
      </c>
      <c r="GT28" s="36">
        <f t="shared" si="116"/>
        <v>0</v>
      </c>
      <c r="GU28" s="36">
        <f t="shared" si="117"/>
        <v>0</v>
      </c>
      <c r="GV28" s="36">
        <f t="shared" si="118"/>
        <v>0</v>
      </c>
      <c r="GW28" s="36">
        <f t="shared" si="119"/>
        <v>0</v>
      </c>
      <c r="GX28" s="36">
        <f t="shared" si="120"/>
        <v>0</v>
      </c>
      <c r="GY28" s="149">
        <f t="shared" si="121"/>
        <v>0</v>
      </c>
      <c r="HD28" s="36">
        <f t="shared" si="131"/>
        <v>22</v>
      </c>
      <c r="HE28" s="36">
        <f t="shared" si="122"/>
        <v>0</v>
      </c>
      <c r="HF28" s="36">
        <f t="shared" si="123"/>
        <v>0</v>
      </c>
      <c r="HG28" s="36">
        <f t="shared" si="124"/>
        <v>0</v>
      </c>
      <c r="HK28" s="152"/>
      <c r="HM28" s="153"/>
      <c r="HQ28" s="159" t="str">
        <f t="shared" si="125"/>
        <v/>
      </c>
      <c r="HR28" s="160" t="str">
        <f t="shared" si="126"/>
        <v/>
      </c>
      <c r="HU28" s="36">
        <v>6</v>
      </c>
      <c r="HV28" s="36">
        <f t="shared" si="132"/>
        <v>22</v>
      </c>
      <c r="HW28" s="138">
        <v>22</v>
      </c>
      <c r="HX28" s="36">
        <v>20</v>
      </c>
      <c r="HY28" s="36">
        <v>19</v>
      </c>
      <c r="HZ28" s="36">
        <v>21</v>
      </c>
      <c r="IA28" s="36">
        <v>20</v>
      </c>
      <c r="IB28" s="36">
        <v>18</v>
      </c>
      <c r="IC28" s="36">
        <v>17</v>
      </c>
      <c r="ID28" s="36">
        <v>19</v>
      </c>
      <c r="IE28" s="36">
        <v>18</v>
      </c>
      <c r="IF28" s="36">
        <v>16</v>
      </c>
      <c r="IG28" s="36">
        <v>15</v>
      </c>
      <c r="IH28" s="36">
        <v>17</v>
      </c>
      <c r="II28" s="36">
        <v>16</v>
      </c>
      <c r="IJ28" s="36">
        <v>14</v>
      </c>
      <c r="IK28" s="36">
        <v>13</v>
      </c>
      <c r="IL28" s="36">
        <v>15</v>
      </c>
      <c r="IM28" s="36">
        <v>14</v>
      </c>
      <c r="IN28" s="36">
        <v>12</v>
      </c>
      <c r="IO28" s="36">
        <v>11</v>
      </c>
      <c r="IP28" s="36">
        <v>13</v>
      </c>
      <c r="IQ28" s="36">
        <v>12</v>
      </c>
      <c r="IR28" s="36">
        <v>0</v>
      </c>
      <c r="IS28" s="36">
        <v>0</v>
      </c>
      <c r="IT28" s="36">
        <v>0</v>
      </c>
      <c r="IU28" s="36">
        <v>0</v>
      </c>
      <c r="IV28" s="36">
        <v>0</v>
      </c>
      <c r="IW28" s="149">
        <v>0</v>
      </c>
      <c r="IY28" s="36">
        <f t="shared" si="127"/>
        <v>0</v>
      </c>
    </row>
    <row r="29" spans="1:267" ht="15.9" hidden="1" customHeight="1" x14ac:dyDescent="0.3">
      <c r="A29" s="104">
        <f t="shared" si="137"/>
        <v>23</v>
      </c>
      <c r="B29" s="91"/>
      <c r="C29" s="91"/>
      <c r="D29" s="96"/>
      <c r="E29" s="10"/>
      <c r="F29" s="9"/>
      <c r="G29" s="39"/>
      <c r="H29" s="118"/>
      <c r="I29" s="91"/>
      <c r="U29" s="67"/>
      <c r="AE29" s="36">
        <f t="shared" si="19"/>
        <v>0</v>
      </c>
      <c r="AF29" s="36">
        <f t="shared" si="142"/>
        <v>23</v>
      </c>
      <c r="AH29" s="36">
        <v>7</v>
      </c>
      <c r="AI29" s="138">
        <f t="shared" si="21"/>
        <v>23</v>
      </c>
      <c r="AJ29" s="36">
        <f>AF30</f>
        <v>24</v>
      </c>
      <c r="AK29" s="149">
        <f>AI27</f>
        <v>21</v>
      </c>
      <c r="AL29" s="36">
        <f t="shared" si="143"/>
        <v>23</v>
      </c>
      <c r="AM29" s="36">
        <f>AL30</f>
        <v>24</v>
      </c>
      <c r="AN29" s="149">
        <f>AL28</f>
        <v>22</v>
      </c>
      <c r="AO29" s="138">
        <f t="shared" si="144"/>
        <v>22</v>
      </c>
      <c r="AP29" s="36">
        <f>AO30</f>
        <v>23</v>
      </c>
      <c r="AQ29" s="149">
        <f>AO28</f>
        <v>21</v>
      </c>
      <c r="AR29" s="36">
        <f t="shared" si="145"/>
        <v>22</v>
      </c>
      <c r="AS29" s="36">
        <f>AR30</f>
        <v>23</v>
      </c>
      <c r="AT29" s="149">
        <f>AR27</f>
        <v>20</v>
      </c>
      <c r="AU29" s="138">
        <f t="shared" si="146"/>
        <v>21</v>
      </c>
      <c r="AV29" s="36">
        <f>AU30</f>
        <v>22</v>
      </c>
      <c r="AW29" s="149">
        <f>AU27</f>
        <v>19</v>
      </c>
      <c r="AX29" s="36">
        <f t="shared" si="147"/>
        <v>21</v>
      </c>
      <c r="AY29" s="36">
        <f>AX30</f>
        <v>22</v>
      </c>
      <c r="AZ29" s="149">
        <f>AX28</f>
        <v>20</v>
      </c>
      <c r="BA29" s="138">
        <f t="shared" si="148"/>
        <v>20</v>
      </c>
      <c r="BB29" s="36">
        <f>BA30</f>
        <v>21</v>
      </c>
      <c r="BC29" s="149">
        <f>BA28</f>
        <v>19</v>
      </c>
      <c r="BD29" s="36">
        <f t="shared" si="149"/>
        <v>20</v>
      </c>
      <c r="BE29" s="36">
        <f>BD30</f>
        <v>21</v>
      </c>
      <c r="BF29" s="36">
        <f>BD27</f>
        <v>18</v>
      </c>
      <c r="BG29" s="138">
        <f t="shared" si="150"/>
        <v>19</v>
      </c>
      <c r="BH29" s="36">
        <f>BG30</f>
        <v>20</v>
      </c>
      <c r="BI29" s="149">
        <f>BG27</f>
        <v>17</v>
      </c>
      <c r="BJ29" s="138">
        <f t="shared" si="151"/>
        <v>19</v>
      </c>
      <c r="BK29" s="36">
        <f>BJ30</f>
        <v>20</v>
      </c>
      <c r="BL29" s="149">
        <f>BJ28</f>
        <v>18</v>
      </c>
      <c r="BM29" s="138">
        <f t="shared" si="152"/>
        <v>18</v>
      </c>
      <c r="BN29" s="36">
        <f>BM30</f>
        <v>19</v>
      </c>
      <c r="BO29" s="149">
        <f>BM28</f>
        <v>17</v>
      </c>
      <c r="BP29" s="36">
        <f t="shared" si="153"/>
        <v>18</v>
      </c>
      <c r="BQ29" s="36">
        <f>BP30</f>
        <v>19</v>
      </c>
      <c r="BR29" s="149">
        <v>16</v>
      </c>
      <c r="BS29" s="138">
        <f t="shared" si="154"/>
        <v>17</v>
      </c>
      <c r="BT29" s="36">
        <f>BS30</f>
        <v>18</v>
      </c>
      <c r="BU29" s="149">
        <v>15</v>
      </c>
      <c r="BV29" s="36">
        <f t="shared" si="155"/>
        <v>17</v>
      </c>
      <c r="BW29" s="36">
        <f>BV30</f>
        <v>18</v>
      </c>
      <c r="BX29" s="149">
        <f>BV28</f>
        <v>16</v>
      </c>
      <c r="BY29" s="138">
        <f t="shared" si="156"/>
        <v>16</v>
      </c>
      <c r="BZ29" s="36">
        <f>BY30</f>
        <v>17</v>
      </c>
      <c r="CA29" s="149">
        <f>BY28</f>
        <v>15</v>
      </c>
      <c r="CB29" s="36">
        <f t="shared" si="157"/>
        <v>16</v>
      </c>
      <c r="CC29" s="36">
        <f>CB30</f>
        <v>17</v>
      </c>
      <c r="CD29" s="149">
        <f>CB27</f>
        <v>14</v>
      </c>
      <c r="CE29" s="138">
        <f t="shared" si="158"/>
        <v>15</v>
      </c>
      <c r="CF29" s="36">
        <f>CE30</f>
        <v>16</v>
      </c>
      <c r="CG29" s="149">
        <f>CE27</f>
        <v>13</v>
      </c>
      <c r="CH29" s="138">
        <f t="shared" si="141"/>
        <v>15</v>
      </c>
      <c r="CI29" s="36" t="str">
        <f>$AE$1</f>
        <v>VL</v>
      </c>
      <c r="CJ29" s="149">
        <f>CH23</f>
        <v>9</v>
      </c>
      <c r="CK29" s="138">
        <f t="shared" si="138"/>
        <v>14</v>
      </c>
      <c r="CL29" s="36" t="str">
        <f>$AE$1</f>
        <v>VL</v>
      </c>
      <c r="CM29" s="149">
        <f>CK23</f>
        <v>8</v>
      </c>
      <c r="CN29" s="138"/>
      <c r="CQ29" s="138"/>
      <c r="CS29" s="149"/>
      <c r="CW29" s="138"/>
      <c r="CY29" s="149"/>
      <c r="DC29" s="138"/>
      <c r="DE29" s="149"/>
      <c r="DI29" s="138"/>
      <c r="DK29" s="149"/>
      <c r="DN29" s="36">
        <f t="shared" si="128"/>
        <v>23</v>
      </c>
      <c r="DO29" s="138">
        <f t="shared" si="41"/>
        <v>23</v>
      </c>
      <c r="DP29" s="36">
        <f t="shared" si="42"/>
        <v>23</v>
      </c>
      <c r="DQ29" s="36">
        <f t="shared" si="43"/>
        <v>22</v>
      </c>
      <c r="DR29" s="36">
        <f t="shared" si="44"/>
        <v>22</v>
      </c>
      <c r="DS29" s="36">
        <f t="shared" si="45"/>
        <v>21</v>
      </c>
      <c r="DT29" s="36">
        <f t="shared" si="46"/>
        <v>21</v>
      </c>
      <c r="DU29" s="36">
        <f t="shared" si="47"/>
        <v>20</v>
      </c>
      <c r="DV29" s="36">
        <f t="shared" si="48"/>
        <v>20</v>
      </c>
      <c r="DW29" s="36">
        <f t="shared" si="49"/>
        <v>19</v>
      </c>
      <c r="DX29" s="36">
        <f t="shared" si="50"/>
        <v>19</v>
      </c>
      <c r="DY29" s="36">
        <f t="shared" si="51"/>
        <v>18</v>
      </c>
      <c r="DZ29" s="36">
        <f t="shared" si="52"/>
        <v>18</v>
      </c>
      <c r="EA29" s="36">
        <f t="shared" si="53"/>
        <v>17</v>
      </c>
      <c r="EB29" s="36">
        <f t="shared" si="54"/>
        <v>17</v>
      </c>
      <c r="EC29" s="36">
        <f t="shared" si="55"/>
        <v>16</v>
      </c>
      <c r="ED29" s="36">
        <f t="shared" si="56"/>
        <v>16</v>
      </c>
      <c r="EE29" s="36">
        <f t="shared" si="57"/>
        <v>15</v>
      </c>
      <c r="EF29" s="36">
        <f t="shared" si="58"/>
        <v>15</v>
      </c>
      <c r="EG29" s="36">
        <f t="shared" si="59"/>
        <v>14</v>
      </c>
      <c r="EH29" s="36">
        <f t="shared" si="60"/>
        <v>0</v>
      </c>
      <c r="EI29" s="36">
        <f t="shared" si="61"/>
        <v>0</v>
      </c>
      <c r="EJ29" s="36">
        <f t="shared" si="62"/>
        <v>0</v>
      </c>
      <c r="EK29" s="36">
        <f t="shared" si="63"/>
        <v>0</v>
      </c>
      <c r="EL29" s="36">
        <f t="shared" si="64"/>
        <v>0</v>
      </c>
      <c r="EM29" s="36">
        <f t="shared" si="65"/>
        <v>0</v>
      </c>
      <c r="EN29" s="36">
        <f t="shared" si="66"/>
        <v>0</v>
      </c>
      <c r="EO29" s="149">
        <f t="shared" si="67"/>
        <v>0</v>
      </c>
      <c r="ES29" s="36">
        <f t="shared" si="129"/>
        <v>23</v>
      </c>
      <c r="ET29" s="138">
        <f t="shared" si="68"/>
        <v>24</v>
      </c>
      <c r="EU29" s="36">
        <f t="shared" si="69"/>
        <v>24</v>
      </c>
      <c r="EV29" s="36">
        <f t="shared" si="70"/>
        <v>23</v>
      </c>
      <c r="EW29" s="36">
        <f t="shared" si="71"/>
        <v>23</v>
      </c>
      <c r="EX29" s="36">
        <f t="shared" si="72"/>
        <v>22</v>
      </c>
      <c r="EY29" s="36">
        <f t="shared" si="73"/>
        <v>22</v>
      </c>
      <c r="EZ29" s="36">
        <f t="shared" si="74"/>
        <v>21</v>
      </c>
      <c r="FA29" s="36">
        <f t="shared" si="75"/>
        <v>21</v>
      </c>
      <c r="FB29" s="36">
        <f t="shared" si="76"/>
        <v>20</v>
      </c>
      <c r="FC29" s="36">
        <f t="shared" si="77"/>
        <v>20</v>
      </c>
      <c r="FD29" s="36">
        <f t="shared" si="78"/>
        <v>19</v>
      </c>
      <c r="FE29" s="36">
        <f t="shared" si="79"/>
        <v>19</v>
      </c>
      <c r="FF29" s="36">
        <f t="shared" si="80"/>
        <v>18</v>
      </c>
      <c r="FG29" s="36">
        <f t="shared" si="81"/>
        <v>18</v>
      </c>
      <c r="FH29" s="36">
        <f t="shared" si="82"/>
        <v>17</v>
      </c>
      <c r="FI29" s="36">
        <f t="shared" si="83"/>
        <v>17</v>
      </c>
      <c r="FJ29" s="36">
        <f t="shared" si="84"/>
        <v>16</v>
      </c>
      <c r="FK29" s="36" t="str">
        <f t="shared" si="85"/>
        <v>VL</v>
      </c>
      <c r="FL29" s="36" t="str">
        <f t="shared" si="86"/>
        <v>VL</v>
      </c>
      <c r="FM29" s="36">
        <f t="shared" si="87"/>
        <v>0</v>
      </c>
      <c r="FN29" s="36">
        <f t="shared" si="88"/>
        <v>0</v>
      </c>
      <c r="FO29" s="36">
        <f t="shared" si="89"/>
        <v>0</v>
      </c>
      <c r="FP29" s="36">
        <f t="shared" si="90"/>
        <v>0</v>
      </c>
      <c r="FQ29" s="36">
        <f t="shared" si="91"/>
        <v>0</v>
      </c>
      <c r="FR29" s="36">
        <f t="shared" si="92"/>
        <v>0</v>
      </c>
      <c r="FS29" s="36">
        <f t="shared" si="93"/>
        <v>0</v>
      </c>
      <c r="FT29" s="149">
        <f t="shared" si="94"/>
        <v>0</v>
      </c>
      <c r="FX29" s="36">
        <f t="shared" si="130"/>
        <v>23</v>
      </c>
      <c r="FY29" s="138">
        <f t="shared" si="95"/>
        <v>21</v>
      </c>
      <c r="FZ29" s="36">
        <f t="shared" si="96"/>
        <v>22</v>
      </c>
      <c r="GA29" s="36">
        <f t="shared" si="97"/>
        <v>21</v>
      </c>
      <c r="GB29" s="36">
        <f t="shared" si="98"/>
        <v>20</v>
      </c>
      <c r="GC29" s="36">
        <f t="shared" si="99"/>
        <v>19</v>
      </c>
      <c r="GD29" s="36">
        <f t="shared" si="100"/>
        <v>20</v>
      </c>
      <c r="GE29" s="36">
        <f t="shared" si="101"/>
        <v>19</v>
      </c>
      <c r="GF29" s="36">
        <f t="shared" si="102"/>
        <v>18</v>
      </c>
      <c r="GG29" s="36">
        <f t="shared" si="103"/>
        <v>17</v>
      </c>
      <c r="GH29" s="36">
        <f t="shared" si="104"/>
        <v>18</v>
      </c>
      <c r="GI29" s="36">
        <f t="shared" si="105"/>
        <v>17</v>
      </c>
      <c r="GJ29" s="36">
        <f t="shared" si="106"/>
        <v>16</v>
      </c>
      <c r="GK29" s="36">
        <f t="shared" si="107"/>
        <v>15</v>
      </c>
      <c r="GL29" s="36">
        <f t="shared" si="108"/>
        <v>16</v>
      </c>
      <c r="GM29" s="36">
        <f t="shared" si="109"/>
        <v>15</v>
      </c>
      <c r="GN29" s="36">
        <f t="shared" si="110"/>
        <v>14</v>
      </c>
      <c r="GO29" s="36">
        <f t="shared" si="111"/>
        <v>13</v>
      </c>
      <c r="GP29" s="36">
        <f t="shared" si="112"/>
        <v>9</v>
      </c>
      <c r="GQ29" s="36">
        <f t="shared" si="113"/>
        <v>8</v>
      </c>
      <c r="GR29" s="36">
        <f t="shared" si="114"/>
        <v>0</v>
      </c>
      <c r="GS29" s="36">
        <f t="shared" si="115"/>
        <v>0</v>
      </c>
      <c r="GT29" s="36">
        <f t="shared" si="116"/>
        <v>0</v>
      </c>
      <c r="GU29" s="36">
        <f t="shared" si="117"/>
        <v>0</v>
      </c>
      <c r="GV29" s="36">
        <f t="shared" si="118"/>
        <v>0</v>
      </c>
      <c r="GW29" s="36">
        <f t="shared" si="119"/>
        <v>0</v>
      </c>
      <c r="GX29" s="36">
        <f t="shared" si="120"/>
        <v>0</v>
      </c>
      <c r="GY29" s="149">
        <f t="shared" si="121"/>
        <v>0</v>
      </c>
      <c r="HD29" s="36">
        <f t="shared" si="131"/>
        <v>23</v>
      </c>
      <c r="HE29" s="36">
        <f t="shared" si="122"/>
        <v>0</v>
      </c>
      <c r="HF29" s="36">
        <f t="shared" si="123"/>
        <v>0</v>
      </c>
      <c r="HG29" s="36">
        <f t="shared" si="124"/>
        <v>0</v>
      </c>
      <c r="HJ29" s="36">
        <f>HJ27+1</f>
        <v>12</v>
      </c>
      <c r="HK29" s="152" t="str">
        <f>IF(HE18=0,"",HE18)</f>
        <v/>
      </c>
      <c r="HL29" s="36" t="str">
        <f>IF(HF18=0,"",HF18)</f>
        <v/>
      </c>
      <c r="HM29" s="153" t="str">
        <f>IF(HG18=0,"",HG18)</f>
        <v/>
      </c>
      <c r="HQ29" s="159" t="str">
        <f t="shared" si="125"/>
        <v/>
      </c>
      <c r="HR29" s="160" t="str">
        <f t="shared" si="126"/>
        <v/>
      </c>
      <c r="HU29" s="36">
        <v>7</v>
      </c>
      <c r="HV29" s="36">
        <f t="shared" si="132"/>
        <v>23</v>
      </c>
      <c r="HW29" s="138">
        <v>23</v>
      </c>
      <c r="HX29" s="36">
        <v>21</v>
      </c>
      <c r="HY29" s="36">
        <v>20</v>
      </c>
      <c r="HZ29" s="36">
        <v>22</v>
      </c>
      <c r="IA29" s="36">
        <v>21</v>
      </c>
      <c r="IB29" s="36">
        <v>19</v>
      </c>
      <c r="IC29" s="36">
        <v>18</v>
      </c>
      <c r="ID29" s="36">
        <v>20</v>
      </c>
      <c r="IE29" s="36">
        <v>19</v>
      </c>
      <c r="IF29" s="36">
        <v>17</v>
      </c>
      <c r="IG29" s="36">
        <v>16</v>
      </c>
      <c r="IH29" s="36">
        <v>18</v>
      </c>
      <c r="II29" s="36">
        <v>17</v>
      </c>
      <c r="IJ29" s="36">
        <v>15</v>
      </c>
      <c r="IK29" s="36">
        <v>14</v>
      </c>
      <c r="IL29" s="36">
        <v>16</v>
      </c>
      <c r="IM29" s="36">
        <v>15</v>
      </c>
      <c r="IN29" s="36">
        <v>13</v>
      </c>
      <c r="IO29" s="36">
        <v>12</v>
      </c>
      <c r="IP29" s="36">
        <v>0</v>
      </c>
      <c r="IQ29" s="36">
        <v>0</v>
      </c>
      <c r="IR29" s="36">
        <v>0</v>
      </c>
      <c r="IS29" s="36">
        <v>0</v>
      </c>
      <c r="IT29" s="36">
        <v>0</v>
      </c>
      <c r="IU29" s="36">
        <v>0</v>
      </c>
      <c r="IV29" s="36">
        <v>0</v>
      </c>
      <c r="IW29" s="149">
        <v>0</v>
      </c>
      <c r="IY29" s="36">
        <f t="shared" si="127"/>
        <v>0</v>
      </c>
    </row>
    <row r="30" spans="1:267" ht="15.9" hidden="1" customHeight="1" x14ac:dyDescent="0.3">
      <c r="A30" s="104">
        <f t="shared" si="137"/>
        <v>24</v>
      </c>
      <c r="B30" s="91"/>
      <c r="C30" s="91"/>
      <c r="D30" s="96"/>
      <c r="E30" s="10"/>
      <c r="F30" s="9"/>
      <c r="G30" s="38"/>
      <c r="H30" s="119"/>
      <c r="I30" s="91"/>
      <c r="U30" s="67"/>
      <c r="AE30" s="36">
        <f t="shared" si="19"/>
        <v>0</v>
      </c>
      <c r="AF30" s="36">
        <f t="shared" si="142"/>
        <v>24</v>
      </c>
      <c r="AH30" s="36">
        <v>8</v>
      </c>
      <c r="AI30" s="138">
        <f t="shared" si="21"/>
        <v>24</v>
      </c>
      <c r="AJ30" s="36">
        <f>AF29</f>
        <v>23</v>
      </c>
      <c r="AK30" s="149">
        <f>AI28</f>
        <v>22</v>
      </c>
      <c r="AL30" s="36">
        <f t="shared" si="143"/>
        <v>24</v>
      </c>
      <c r="AM30" s="36">
        <f>AL29</f>
        <v>23</v>
      </c>
      <c r="AN30" s="149">
        <f>AL31</f>
        <v>25</v>
      </c>
      <c r="AO30" s="138">
        <f t="shared" si="144"/>
        <v>23</v>
      </c>
      <c r="AP30" s="36">
        <f>AO29</f>
        <v>22</v>
      </c>
      <c r="AQ30" s="149">
        <f>AO31</f>
        <v>24</v>
      </c>
      <c r="AR30" s="36">
        <f t="shared" si="145"/>
        <v>23</v>
      </c>
      <c r="AS30" s="36">
        <f>AR29</f>
        <v>22</v>
      </c>
      <c r="AT30" s="149">
        <f>AR28</f>
        <v>21</v>
      </c>
      <c r="AU30" s="138">
        <f t="shared" si="146"/>
        <v>22</v>
      </c>
      <c r="AV30" s="36">
        <f>AU29</f>
        <v>21</v>
      </c>
      <c r="AW30" s="149">
        <f>AU28</f>
        <v>20</v>
      </c>
      <c r="AX30" s="36">
        <f t="shared" si="147"/>
        <v>22</v>
      </c>
      <c r="AY30" s="36">
        <f>AX29</f>
        <v>21</v>
      </c>
      <c r="AZ30" s="149">
        <f>AX31</f>
        <v>23</v>
      </c>
      <c r="BA30" s="138">
        <f t="shared" si="148"/>
        <v>21</v>
      </c>
      <c r="BB30" s="36">
        <f>BA29</f>
        <v>20</v>
      </c>
      <c r="BC30" s="149">
        <f>BA31</f>
        <v>22</v>
      </c>
      <c r="BD30" s="36">
        <f t="shared" si="149"/>
        <v>21</v>
      </c>
      <c r="BE30" s="36">
        <f>BD29</f>
        <v>20</v>
      </c>
      <c r="BF30" s="36">
        <f>BD28</f>
        <v>19</v>
      </c>
      <c r="BG30" s="138">
        <f t="shared" si="150"/>
        <v>20</v>
      </c>
      <c r="BH30" s="36">
        <f>BG29</f>
        <v>19</v>
      </c>
      <c r="BI30" s="149">
        <f>BG28</f>
        <v>18</v>
      </c>
      <c r="BJ30" s="138">
        <f t="shared" si="151"/>
        <v>20</v>
      </c>
      <c r="BK30" s="36">
        <f>BJ29</f>
        <v>19</v>
      </c>
      <c r="BL30" s="149">
        <f>BJ31</f>
        <v>21</v>
      </c>
      <c r="BM30" s="138">
        <f t="shared" si="152"/>
        <v>19</v>
      </c>
      <c r="BN30" s="36">
        <f>BM29</f>
        <v>18</v>
      </c>
      <c r="BO30" s="149">
        <f>BM31</f>
        <v>20</v>
      </c>
      <c r="BP30" s="36">
        <f t="shared" si="153"/>
        <v>19</v>
      </c>
      <c r="BQ30" s="36">
        <f>BP29</f>
        <v>18</v>
      </c>
      <c r="BR30" s="149">
        <v>21</v>
      </c>
      <c r="BS30" s="138">
        <f t="shared" si="154"/>
        <v>18</v>
      </c>
      <c r="BT30" s="36">
        <f>BS29</f>
        <v>17</v>
      </c>
      <c r="BU30" s="149">
        <v>20</v>
      </c>
      <c r="BV30" s="36">
        <f t="shared" si="155"/>
        <v>18</v>
      </c>
      <c r="BW30" s="36">
        <f>BV29</f>
        <v>17</v>
      </c>
      <c r="BX30" s="149" t="str">
        <f>BW31</f>
        <v>VL</v>
      </c>
      <c r="BY30" s="138">
        <f t="shared" si="156"/>
        <v>17</v>
      </c>
      <c r="BZ30" s="36">
        <f>BY29</f>
        <v>16</v>
      </c>
      <c r="CA30" s="149" t="str">
        <f>BZ31</f>
        <v>VL</v>
      </c>
      <c r="CB30" s="36">
        <f t="shared" si="157"/>
        <v>17</v>
      </c>
      <c r="CC30" s="36">
        <f>CB29</f>
        <v>16</v>
      </c>
      <c r="CD30" s="149">
        <f>CB28</f>
        <v>15</v>
      </c>
      <c r="CE30" s="138">
        <f t="shared" si="158"/>
        <v>16</v>
      </c>
      <c r="CF30" s="36">
        <f>CE29</f>
        <v>15</v>
      </c>
      <c r="CG30" s="149">
        <f>CE28</f>
        <v>14</v>
      </c>
      <c r="CK30" s="138"/>
      <c r="CM30" s="149"/>
      <c r="CQ30" s="138"/>
      <c r="CS30" s="149"/>
      <c r="CW30" s="138"/>
      <c r="CY30" s="149"/>
      <c r="DC30" s="138"/>
      <c r="DE30" s="149"/>
      <c r="DI30" s="138"/>
      <c r="DK30" s="149"/>
      <c r="DN30" s="36">
        <f t="shared" si="128"/>
        <v>24</v>
      </c>
      <c r="DO30" s="138">
        <f t="shared" si="41"/>
        <v>24</v>
      </c>
      <c r="DP30" s="36">
        <f t="shared" si="42"/>
        <v>24</v>
      </c>
      <c r="DQ30" s="36">
        <f t="shared" si="43"/>
        <v>23</v>
      </c>
      <c r="DR30" s="36">
        <f t="shared" si="44"/>
        <v>23</v>
      </c>
      <c r="DS30" s="36">
        <f t="shared" si="45"/>
        <v>22</v>
      </c>
      <c r="DT30" s="36">
        <f t="shared" si="46"/>
        <v>22</v>
      </c>
      <c r="DU30" s="36">
        <f t="shared" si="47"/>
        <v>21</v>
      </c>
      <c r="DV30" s="36">
        <f t="shared" si="48"/>
        <v>21</v>
      </c>
      <c r="DW30" s="36">
        <f t="shared" si="49"/>
        <v>20</v>
      </c>
      <c r="DX30" s="36">
        <f t="shared" si="50"/>
        <v>20</v>
      </c>
      <c r="DY30" s="36">
        <f t="shared" si="51"/>
        <v>19</v>
      </c>
      <c r="DZ30" s="36">
        <f t="shared" si="52"/>
        <v>19</v>
      </c>
      <c r="EA30" s="36">
        <f t="shared" si="53"/>
        <v>18</v>
      </c>
      <c r="EB30" s="36">
        <f t="shared" si="54"/>
        <v>18</v>
      </c>
      <c r="EC30" s="36">
        <f t="shared" si="55"/>
        <v>17</v>
      </c>
      <c r="ED30" s="36">
        <f t="shared" si="56"/>
        <v>17</v>
      </c>
      <c r="EE30" s="36">
        <f t="shared" si="57"/>
        <v>16</v>
      </c>
      <c r="EF30" s="36">
        <f t="shared" si="58"/>
        <v>0</v>
      </c>
      <c r="EG30" s="36">
        <f t="shared" si="59"/>
        <v>0</v>
      </c>
      <c r="EH30" s="36">
        <f t="shared" si="60"/>
        <v>0</v>
      </c>
      <c r="EI30" s="36">
        <f t="shared" si="61"/>
        <v>0</v>
      </c>
      <c r="EJ30" s="36">
        <f t="shared" si="62"/>
        <v>0</v>
      </c>
      <c r="EK30" s="36">
        <f t="shared" si="63"/>
        <v>0</v>
      </c>
      <c r="EL30" s="36">
        <f t="shared" si="64"/>
        <v>0</v>
      </c>
      <c r="EM30" s="36">
        <f t="shared" si="65"/>
        <v>0</v>
      </c>
      <c r="EN30" s="36">
        <f t="shared" si="66"/>
        <v>0</v>
      </c>
      <c r="EO30" s="149">
        <f t="shared" si="67"/>
        <v>0</v>
      </c>
      <c r="ES30" s="36">
        <f t="shared" si="129"/>
        <v>24</v>
      </c>
      <c r="ET30" s="138">
        <f t="shared" si="68"/>
        <v>23</v>
      </c>
      <c r="EU30" s="36">
        <f t="shared" si="69"/>
        <v>23</v>
      </c>
      <c r="EV30" s="36">
        <f t="shared" si="70"/>
        <v>22</v>
      </c>
      <c r="EW30" s="36">
        <f t="shared" si="71"/>
        <v>22</v>
      </c>
      <c r="EX30" s="36">
        <f t="shared" si="72"/>
        <v>21</v>
      </c>
      <c r="EY30" s="36">
        <f t="shared" si="73"/>
        <v>21</v>
      </c>
      <c r="EZ30" s="36">
        <f t="shared" si="74"/>
        <v>20</v>
      </c>
      <c r="FA30" s="36">
        <f t="shared" si="75"/>
        <v>20</v>
      </c>
      <c r="FB30" s="36">
        <f t="shared" si="76"/>
        <v>19</v>
      </c>
      <c r="FC30" s="36">
        <f t="shared" si="77"/>
        <v>19</v>
      </c>
      <c r="FD30" s="36">
        <f t="shared" si="78"/>
        <v>18</v>
      </c>
      <c r="FE30" s="36">
        <f t="shared" si="79"/>
        <v>18</v>
      </c>
      <c r="FF30" s="36">
        <f t="shared" si="80"/>
        <v>17</v>
      </c>
      <c r="FG30" s="36">
        <f t="shared" si="81"/>
        <v>17</v>
      </c>
      <c r="FH30" s="36">
        <f t="shared" si="82"/>
        <v>16</v>
      </c>
      <c r="FI30" s="36">
        <f t="shared" si="83"/>
        <v>16</v>
      </c>
      <c r="FJ30" s="36">
        <f t="shared" si="84"/>
        <v>15</v>
      </c>
      <c r="FK30" s="36">
        <f t="shared" si="85"/>
        <v>0</v>
      </c>
      <c r="FL30" s="36">
        <f t="shared" si="86"/>
        <v>0</v>
      </c>
      <c r="FM30" s="36">
        <f t="shared" si="87"/>
        <v>0</v>
      </c>
      <c r="FN30" s="36">
        <f t="shared" si="88"/>
        <v>0</v>
      </c>
      <c r="FO30" s="36">
        <f t="shared" si="89"/>
        <v>0</v>
      </c>
      <c r="FP30" s="36">
        <f t="shared" si="90"/>
        <v>0</v>
      </c>
      <c r="FQ30" s="36">
        <f t="shared" si="91"/>
        <v>0</v>
      </c>
      <c r="FR30" s="36">
        <f t="shared" si="92"/>
        <v>0</v>
      </c>
      <c r="FS30" s="36">
        <f t="shared" si="93"/>
        <v>0</v>
      </c>
      <c r="FT30" s="149">
        <f t="shared" si="94"/>
        <v>0</v>
      </c>
      <c r="FX30" s="36">
        <f t="shared" si="130"/>
        <v>24</v>
      </c>
      <c r="FY30" s="138">
        <f t="shared" si="95"/>
        <v>22</v>
      </c>
      <c r="FZ30" s="36">
        <f t="shared" si="96"/>
        <v>25</v>
      </c>
      <c r="GA30" s="36">
        <f t="shared" si="97"/>
        <v>24</v>
      </c>
      <c r="GB30" s="36">
        <f t="shared" si="98"/>
        <v>21</v>
      </c>
      <c r="GC30" s="36">
        <f t="shared" si="99"/>
        <v>20</v>
      </c>
      <c r="GD30" s="36">
        <f t="shared" si="100"/>
        <v>23</v>
      </c>
      <c r="GE30" s="36">
        <f t="shared" si="101"/>
        <v>22</v>
      </c>
      <c r="GF30" s="36">
        <f t="shared" si="102"/>
        <v>19</v>
      </c>
      <c r="GG30" s="36">
        <f t="shared" si="103"/>
        <v>18</v>
      </c>
      <c r="GH30" s="36">
        <f t="shared" si="104"/>
        <v>21</v>
      </c>
      <c r="GI30" s="36">
        <f t="shared" si="105"/>
        <v>20</v>
      </c>
      <c r="GJ30" s="36">
        <f t="shared" si="106"/>
        <v>21</v>
      </c>
      <c r="GK30" s="36">
        <f t="shared" si="107"/>
        <v>20</v>
      </c>
      <c r="GL30" s="36" t="str">
        <f t="shared" si="108"/>
        <v>VL</v>
      </c>
      <c r="GM30" s="36" t="str">
        <f t="shared" si="109"/>
        <v>VL</v>
      </c>
      <c r="GN30" s="36">
        <f t="shared" si="110"/>
        <v>15</v>
      </c>
      <c r="GO30" s="36">
        <f t="shared" si="111"/>
        <v>14</v>
      </c>
      <c r="GP30" s="36">
        <f t="shared" si="112"/>
        <v>0</v>
      </c>
      <c r="GQ30" s="36">
        <f t="shared" si="113"/>
        <v>0</v>
      </c>
      <c r="GR30" s="36">
        <f t="shared" si="114"/>
        <v>0</v>
      </c>
      <c r="GS30" s="36">
        <f t="shared" si="115"/>
        <v>0</v>
      </c>
      <c r="GT30" s="36">
        <f t="shared" si="116"/>
        <v>0</v>
      </c>
      <c r="GU30" s="36">
        <f t="shared" si="117"/>
        <v>0</v>
      </c>
      <c r="GV30" s="36">
        <f t="shared" si="118"/>
        <v>0</v>
      </c>
      <c r="GW30" s="36">
        <f t="shared" si="119"/>
        <v>0</v>
      </c>
      <c r="GX30" s="36">
        <f t="shared" si="120"/>
        <v>0</v>
      </c>
      <c r="GY30" s="149">
        <f t="shared" si="121"/>
        <v>0</v>
      </c>
      <c r="HD30" s="36">
        <f t="shared" si="131"/>
        <v>24</v>
      </c>
      <c r="HE30" s="36">
        <f t="shared" si="122"/>
        <v>0</v>
      </c>
      <c r="HF30" s="36">
        <f t="shared" si="123"/>
        <v>0</v>
      </c>
      <c r="HG30" s="36">
        <f t="shared" si="124"/>
        <v>0</v>
      </c>
      <c r="HK30" s="152"/>
      <c r="HM30" s="153"/>
      <c r="HQ30" s="159" t="str">
        <f t="shared" si="125"/>
        <v/>
      </c>
      <c r="HR30" s="160" t="str">
        <f t="shared" si="126"/>
        <v/>
      </c>
      <c r="HU30" s="36">
        <v>8</v>
      </c>
      <c r="HV30" s="36">
        <f t="shared" si="132"/>
        <v>24</v>
      </c>
      <c r="HW30" s="138">
        <v>24</v>
      </c>
      <c r="HX30" s="36">
        <v>22</v>
      </c>
      <c r="HY30" s="36">
        <v>21</v>
      </c>
      <c r="HZ30" s="36">
        <v>23</v>
      </c>
      <c r="IA30" s="36">
        <v>22</v>
      </c>
      <c r="IB30" s="36">
        <v>20</v>
      </c>
      <c r="IC30" s="36">
        <v>19</v>
      </c>
      <c r="ID30" s="36">
        <v>21</v>
      </c>
      <c r="IE30" s="36">
        <v>20</v>
      </c>
      <c r="IF30" s="36">
        <v>18</v>
      </c>
      <c r="IG30" s="36">
        <v>17</v>
      </c>
      <c r="IH30" s="36">
        <v>19</v>
      </c>
      <c r="II30" s="36">
        <v>18</v>
      </c>
      <c r="IJ30" s="36">
        <v>16</v>
      </c>
      <c r="IK30" s="36">
        <v>15</v>
      </c>
      <c r="IL30" s="36">
        <v>17</v>
      </c>
      <c r="IM30" s="36">
        <v>16</v>
      </c>
      <c r="IN30" s="36">
        <v>0</v>
      </c>
      <c r="IO30" s="36">
        <v>0</v>
      </c>
      <c r="IP30" s="36">
        <v>0</v>
      </c>
      <c r="IQ30" s="36">
        <v>0</v>
      </c>
      <c r="IR30" s="36">
        <v>0</v>
      </c>
      <c r="IS30" s="36">
        <v>0</v>
      </c>
      <c r="IT30" s="36">
        <v>0</v>
      </c>
      <c r="IU30" s="36">
        <v>0</v>
      </c>
      <c r="IV30" s="36">
        <v>0</v>
      </c>
      <c r="IW30" s="149">
        <v>0</v>
      </c>
      <c r="IY30" s="36">
        <f t="shared" si="127"/>
        <v>0</v>
      </c>
    </row>
    <row r="31" spans="1:267" ht="15.9" hidden="1" customHeight="1" x14ac:dyDescent="0.3">
      <c r="A31" s="104">
        <f t="shared" si="137"/>
        <v>25</v>
      </c>
      <c r="B31" s="91"/>
      <c r="C31" s="90"/>
      <c r="D31" s="96"/>
      <c r="E31" s="10"/>
      <c r="F31" s="9"/>
      <c r="G31" s="38"/>
      <c r="H31" s="119"/>
      <c r="I31" s="91"/>
      <c r="U31" s="67"/>
      <c r="AE31" s="36">
        <f t="shared" si="19"/>
        <v>0</v>
      </c>
      <c r="AF31" s="36">
        <f t="shared" si="142"/>
        <v>25</v>
      </c>
      <c r="AH31" s="36">
        <v>9</v>
      </c>
      <c r="AI31" s="138">
        <f t="shared" si="21"/>
        <v>25</v>
      </c>
      <c r="AJ31" s="36">
        <f>AF32</f>
        <v>26</v>
      </c>
      <c r="AK31" s="149">
        <f>AI33</f>
        <v>27</v>
      </c>
      <c r="AL31" s="36">
        <f t="shared" si="143"/>
        <v>25</v>
      </c>
      <c r="AM31" s="36">
        <f>AL32</f>
        <v>26</v>
      </c>
      <c r="AN31" s="149">
        <f>AL30</f>
        <v>24</v>
      </c>
      <c r="AO31" s="138">
        <f t="shared" si="144"/>
        <v>24</v>
      </c>
      <c r="AP31" s="36">
        <f>AO32</f>
        <v>25</v>
      </c>
      <c r="AQ31" s="149">
        <f>AO30</f>
        <v>23</v>
      </c>
      <c r="AR31" s="36">
        <f t="shared" si="145"/>
        <v>24</v>
      </c>
      <c r="AS31" s="36">
        <f>AR32</f>
        <v>25</v>
      </c>
      <c r="AT31" s="149">
        <v>26</v>
      </c>
      <c r="AU31" s="138">
        <f t="shared" si="146"/>
        <v>23</v>
      </c>
      <c r="AV31" s="36">
        <f>AU32</f>
        <v>24</v>
      </c>
      <c r="AW31" s="149">
        <v>25</v>
      </c>
      <c r="AX31" s="36">
        <f t="shared" si="147"/>
        <v>23</v>
      </c>
      <c r="AY31" s="36">
        <f>AX32</f>
        <v>24</v>
      </c>
      <c r="AZ31" s="149">
        <f>AX30</f>
        <v>22</v>
      </c>
      <c r="BA31" s="138">
        <f t="shared" si="148"/>
        <v>22</v>
      </c>
      <c r="BB31" s="36">
        <f>BA32</f>
        <v>23</v>
      </c>
      <c r="BC31" s="149">
        <f>BA30</f>
        <v>21</v>
      </c>
      <c r="BD31" s="36">
        <f t="shared" si="149"/>
        <v>22</v>
      </c>
      <c r="BE31" s="36">
        <f>BD32</f>
        <v>23</v>
      </c>
      <c r="BF31" s="149">
        <f>BD33</f>
        <v>24</v>
      </c>
      <c r="BG31" s="138">
        <f t="shared" si="150"/>
        <v>21</v>
      </c>
      <c r="BH31" s="36">
        <f>BG32</f>
        <v>22</v>
      </c>
      <c r="BI31" s="149">
        <f>BG33</f>
        <v>23</v>
      </c>
      <c r="BJ31" s="138">
        <f t="shared" si="151"/>
        <v>21</v>
      </c>
      <c r="BK31" s="36">
        <f>BJ32</f>
        <v>22</v>
      </c>
      <c r="BL31" s="149">
        <f>BJ30</f>
        <v>20</v>
      </c>
      <c r="BM31" s="138">
        <f t="shared" si="152"/>
        <v>20</v>
      </c>
      <c r="BN31" s="36">
        <f>BM32</f>
        <v>21</v>
      </c>
      <c r="BO31" s="149">
        <f>BM30</f>
        <v>19</v>
      </c>
      <c r="BP31" s="36">
        <f t="shared" si="153"/>
        <v>20</v>
      </c>
      <c r="BQ31" s="36">
        <f>BP32</f>
        <v>21</v>
      </c>
      <c r="BR31" s="149">
        <f>BP28</f>
        <v>17</v>
      </c>
      <c r="BS31" s="138">
        <f t="shared" si="154"/>
        <v>19</v>
      </c>
      <c r="BT31" s="36">
        <f>BS32</f>
        <v>20</v>
      </c>
      <c r="BU31" s="149">
        <f>BS28</f>
        <v>16</v>
      </c>
      <c r="BV31" s="36">
        <f t="shared" si="155"/>
        <v>19</v>
      </c>
      <c r="BW31" s="36" t="str">
        <f>$AE$1</f>
        <v>VL</v>
      </c>
      <c r="BX31" s="149">
        <f>BV23</f>
        <v>11</v>
      </c>
      <c r="BY31" s="138">
        <f t="shared" si="156"/>
        <v>18</v>
      </c>
      <c r="BZ31" s="36" t="str">
        <f>$AE$1</f>
        <v>VL</v>
      </c>
      <c r="CA31" s="149">
        <f>BY23</f>
        <v>10</v>
      </c>
      <c r="CE31" s="138"/>
      <c r="CG31" s="149"/>
      <c r="CK31" s="138"/>
      <c r="CM31" s="149"/>
      <c r="CQ31" s="138"/>
      <c r="CS31" s="149"/>
      <c r="CW31" s="138"/>
      <c r="CY31" s="149"/>
      <c r="DC31" s="138"/>
      <c r="DE31" s="149"/>
      <c r="DI31" s="138"/>
      <c r="DK31" s="149"/>
      <c r="DN31" s="36">
        <f t="shared" si="128"/>
        <v>25</v>
      </c>
      <c r="DO31" s="138">
        <f t="shared" si="41"/>
        <v>25</v>
      </c>
      <c r="DP31" s="36">
        <f t="shared" si="42"/>
        <v>25</v>
      </c>
      <c r="DQ31" s="36">
        <f t="shared" si="43"/>
        <v>24</v>
      </c>
      <c r="DR31" s="36">
        <f t="shared" si="44"/>
        <v>24</v>
      </c>
      <c r="DS31" s="36">
        <f t="shared" si="45"/>
        <v>23</v>
      </c>
      <c r="DT31" s="36">
        <f t="shared" si="46"/>
        <v>23</v>
      </c>
      <c r="DU31" s="36">
        <f t="shared" si="47"/>
        <v>22</v>
      </c>
      <c r="DV31" s="36">
        <f t="shared" si="48"/>
        <v>22</v>
      </c>
      <c r="DW31" s="36">
        <f t="shared" si="49"/>
        <v>21</v>
      </c>
      <c r="DX31" s="36">
        <f t="shared" si="50"/>
        <v>21</v>
      </c>
      <c r="DY31" s="36">
        <f t="shared" si="51"/>
        <v>20</v>
      </c>
      <c r="DZ31" s="36">
        <f t="shared" si="52"/>
        <v>20</v>
      </c>
      <c r="EA31" s="36">
        <f t="shared" si="53"/>
        <v>19</v>
      </c>
      <c r="EB31" s="36">
        <f t="shared" si="54"/>
        <v>19</v>
      </c>
      <c r="EC31" s="36">
        <f t="shared" si="55"/>
        <v>18</v>
      </c>
      <c r="ED31" s="36">
        <f t="shared" si="56"/>
        <v>0</v>
      </c>
      <c r="EE31" s="36">
        <f t="shared" si="57"/>
        <v>0</v>
      </c>
      <c r="EF31" s="36">
        <f t="shared" si="58"/>
        <v>0</v>
      </c>
      <c r="EG31" s="36">
        <f t="shared" si="59"/>
        <v>0</v>
      </c>
      <c r="EH31" s="36">
        <f t="shared" si="60"/>
        <v>0</v>
      </c>
      <c r="EI31" s="36">
        <f t="shared" si="61"/>
        <v>0</v>
      </c>
      <c r="EJ31" s="36">
        <f t="shared" si="62"/>
        <v>0</v>
      </c>
      <c r="EK31" s="36">
        <f t="shared" si="63"/>
        <v>0</v>
      </c>
      <c r="EL31" s="36">
        <f t="shared" si="64"/>
        <v>0</v>
      </c>
      <c r="EM31" s="36">
        <f t="shared" si="65"/>
        <v>0</v>
      </c>
      <c r="EN31" s="36">
        <f t="shared" si="66"/>
        <v>0</v>
      </c>
      <c r="EO31" s="149">
        <f t="shared" si="67"/>
        <v>0</v>
      </c>
      <c r="ES31" s="36">
        <f t="shared" si="129"/>
        <v>25</v>
      </c>
      <c r="ET31" s="138">
        <f t="shared" si="68"/>
        <v>26</v>
      </c>
      <c r="EU31" s="36">
        <f t="shared" si="69"/>
        <v>26</v>
      </c>
      <c r="EV31" s="36">
        <f t="shared" si="70"/>
        <v>25</v>
      </c>
      <c r="EW31" s="36">
        <f t="shared" si="71"/>
        <v>25</v>
      </c>
      <c r="EX31" s="36">
        <f t="shared" si="72"/>
        <v>24</v>
      </c>
      <c r="EY31" s="36">
        <f t="shared" si="73"/>
        <v>24</v>
      </c>
      <c r="EZ31" s="36">
        <f t="shared" si="74"/>
        <v>23</v>
      </c>
      <c r="FA31" s="36">
        <f t="shared" si="75"/>
        <v>23</v>
      </c>
      <c r="FB31" s="36">
        <f t="shared" si="76"/>
        <v>22</v>
      </c>
      <c r="FC31" s="36">
        <f t="shared" si="77"/>
        <v>22</v>
      </c>
      <c r="FD31" s="36">
        <f t="shared" si="78"/>
        <v>21</v>
      </c>
      <c r="FE31" s="36">
        <f t="shared" si="79"/>
        <v>21</v>
      </c>
      <c r="FF31" s="36">
        <f t="shared" si="80"/>
        <v>20</v>
      </c>
      <c r="FG31" s="36" t="str">
        <f t="shared" si="81"/>
        <v>VL</v>
      </c>
      <c r="FH31" s="36" t="str">
        <f t="shared" si="82"/>
        <v>VL</v>
      </c>
      <c r="FI31" s="36">
        <f t="shared" si="83"/>
        <v>0</v>
      </c>
      <c r="FJ31" s="36">
        <f t="shared" si="84"/>
        <v>0</v>
      </c>
      <c r="FK31" s="36">
        <f t="shared" si="85"/>
        <v>0</v>
      </c>
      <c r="FL31" s="36">
        <f t="shared" si="86"/>
        <v>0</v>
      </c>
      <c r="FM31" s="36">
        <f t="shared" si="87"/>
        <v>0</v>
      </c>
      <c r="FN31" s="36">
        <f t="shared" si="88"/>
        <v>0</v>
      </c>
      <c r="FO31" s="36">
        <f t="shared" si="89"/>
        <v>0</v>
      </c>
      <c r="FP31" s="36">
        <f t="shared" si="90"/>
        <v>0</v>
      </c>
      <c r="FQ31" s="36">
        <f t="shared" si="91"/>
        <v>0</v>
      </c>
      <c r="FR31" s="36">
        <f t="shared" si="92"/>
        <v>0</v>
      </c>
      <c r="FS31" s="36">
        <f t="shared" si="93"/>
        <v>0</v>
      </c>
      <c r="FT31" s="149">
        <f t="shared" si="94"/>
        <v>0</v>
      </c>
      <c r="FX31" s="36">
        <f t="shared" si="130"/>
        <v>25</v>
      </c>
      <c r="FY31" s="138">
        <f t="shared" si="95"/>
        <v>27</v>
      </c>
      <c r="FZ31" s="36">
        <f t="shared" si="96"/>
        <v>24</v>
      </c>
      <c r="GA31" s="36">
        <f t="shared" si="97"/>
        <v>23</v>
      </c>
      <c r="GB31" s="36">
        <f t="shared" si="98"/>
        <v>26</v>
      </c>
      <c r="GC31" s="36">
        <f t="shared" si="99"/>
        <v>25</v>
      </c>
      <c r="GD31" s="36">
        <f t="shared" si="100"/>
        <v>22</v>
      </c>
      <c r="GE31" s="36">
        <f t="shared" si="101"/>
        <v>21</v>
      </c>
      <c r="GF31" s="36">
        <f t="shared" si="102"/>
        <v>24</v>
      </c>
      <c r="GG31" s="36">
        <f t="shared" si="103"/>
        <v>23</v>
      </c>
      <c r="GH31" s="36">
        <f t="shared" si="104"/>
        <v>20</v>
      </c>
      <c r="GI31" s="36">
        <f t="shared" si="105"/>
        <v>19</v>
      </c>
      <c r="GJ31" s="36">
        <f t="shared" si="106"/>
        <v>17</v>
      </c>
      <c r="GK31" s="36">
        <f t="shared" si="107"/>
        <v>16</v>
      </c>
      <c r="GL31" s="36">
        <f t="shared" si="108"/>
        <v>11</v>
      </c>
      <c r="GM31" s="36">
        <f t="shared" si="109"/>
        <v>10</v>
      </c>
      <c r="GN31" s="36">
        <f t="shared" si="110"/>
        <v>0</v>
      </c>
      <c r="GO31" s="36">
        <f t="shared" si="111"/>
        <v>0</v>
      </c>
      <c r="GP31" s="36">
        <f t="shared" si="112"/>
        <v>0</v>
      </c>
      <c r="GQ31" s="36">
        <f t="shared" si="113"/>
        <v>0</v>
      </c>
      <c r="GR31" s="36">
        <f t="shared" si="114"/>
        <v>0</v>
      </c>
      <c r="GS31" s="36">
        <f t="shared" si="115"/>
        <v>0</v>
      </c>
      <c r="GT31" s="36">
        <f t="shared" si="116"/>
        <v>0</v>
      </c>
      <c r="GU31" s="36">
        <f t="shared" si="117"/>
        <v>0</v>
      </c>
      <c r="GV31" s="36">
        <f t="shared" si="118"/>
        <v>0</v>
      </c>
      <c r="GW31" s="36">
        <f t="shared" si="119"/>
        <v>0</v>
      </c>
      <c r="GX31" s="36">
        <f t="shared" si="120"/>
        <v>0</v>
      </c>
      <c r="GY31" s="149">
        <f t="shared" si="121"/>
        <v>0</v>
      </c>
      <c r="HD31" s="36">
        <f t="shared" si="131"/>
        <v>25</v>
      </c>
      <c r="HE31" s="36">
        <f t="shared" si="122"/>
        <v>0</v>
      </c>
      <c r="HF31" s="36">
        <f t="shared" si="123"/>
        <v>0</v>
      </c>
      <c r="HG31" s="36">
        <f t="shared" si="124"/>
        <v>0</v>
      </c>
      <c r="HJ31" s="36">
        <f>HJ29+1</f>
        <v>13</v>
      </c>
      <c r="HK31" s="152" t="str">
        <f>IF(HE19=0,"",HE19)</f>
        <v/>
      </c>
      <c r="HL31" s="36" t="str">
        <f>IF(HF19=0,"",HF19)</f>
        <v/>
      </c>
      <c r="HM31" s="153" t="str">
        <f>IF(HG19=0,"",HG19)</f>
        <v/>
      </c>
      <c r="HQ31" s="159" t="str">
        <f t="shared" si="125"/>
        <v/>
      </c>
      <c r="HR31" s="160" t="str">
        <f t="shared" si="126"/>
        <v/>
      </c>
      <c r="HU31" s="36">
        <v>9</v>
      </c>
      <c r="HV31" s="36">
        <f t="shared" si="132"/>
        <v>25</v>
      </c>
      <c r="HW31" s="138">
        <v>25</v>
      </c>
      <c r="HX31" s="36">
        <v>23</v>
      </c>
      <c r="HY31" s="36">
        <v>22</v>
      </c>
      <c r="HZ31" s="36">
        <v>24</v>
      </c>
      <c r="IA31" s="36">
        <v>23</v>
      </c>
      <c r="IB31" s="36">
        <v>21</v>
      </c>
      <c r="IC31" s="36">
        <v>20</v>
      </c>
      <c r="ID31" s="36">
        <v>22</v>
      </c>
      <c r="IE31" s="36">
        <v>21</v>
      </c>
      <c r="IF31" s="36">
        <v>19</v>
      </c>
      <c r="IG31" s="36">
        <v>18</v>
      </c>
      <c r="IH31" s="36">
        <v>20</v>
      </c>
      <c r="II31" s="36">
        <v>19</v>
      </c>
      <c r="IJ31" s="36">
        <v>17</v>
      </c>
      <c r="IK31" s="36">
        <v>16</v>
      </c>
      <c r="IL31" s="36">
        <v>0</v>
      </c>
      <c r="IM31" s="36">
        <v>0</v>
      </c>
      <c r="IN31" s="36">
        <v>0</v>
      </c>
      <c r="IO31" s="36">
        <v>0</v>
      </c>
      <c r="IP31" s="36">
        <v>0</v>
      </c>
      <c r="IQ31" s="36">
        <v>0</v>
      </c>
      <c r="IR31" s="36">
        <v>0</v>
      </c>
      <c r="IS31" s="36">
        <v>0</v>
      </c>
      <c r="IT31" s="36">
        <v>0</v>
      </c>
      <c r="IU31" s="36">
        <v>0</v>
      </c>
      <c r="IV31" s="36">
        <v>0</v>
      </c>
      <c r="IW31" s="149">
        <v>0</v>
      </c>
      <c r="IY31" s="36">
        <f t="shared" si="127"/>
        <v>0</v>
      </c>
    </row>
    <row r="32" spans="1:267" ht="15.9" hidden="1" customHeight="1" x14ac:dyDescent="0.3">
      <c r="A32" s="104">
        <f t="shared" si="137"/>
        <v>26</v>
      </c>
      <c r="B32" s="91"/>
      <c r="C32" s="91"/>
      <c r="D32" s="96"/>
      <c r="E32" s="10"/>
      <c r="F32" s="9"/>
      <c r="G32" s="38"/>
      <c r="H32" s="119"/>
      <c r="I32" s="91"/>
      <c r="U32" s="67"/>
      <c r="AE32" s="36">
        <f t="shared" si="19"/>
        <v>0</v>
      </c>
      <c r="AF32" s="36">
        <f t="shared" si="142"/>
        <v>26</v>
      </c>
      <c r="AH32" s="36">
        <v>10</v>
      </c>
      <c r="AI32" s="138">
        <f t="shared" si="21"/>
        <v>26</v>
      </c>
      <c r="AJ32" s="36">
        <f>AF31</f>
        <v>25</v>
      </c>
      <c r="AK32" s="149">
        <f>AI34</f>
        <v>28</v>
      </c>
      <c r="AL32" s="36">
        <f t="shared" si="143"/>
        <v>26</v>
      </c>
      <c r="AM32" s="36">
        <f>AL31</f>
        <v>25</v>
      </c>
      <c r="AN32" s="149">
        <f>AL33</f>
        <v>27</v>
      </c>
      <c r="AO32" s="138">
        <f t="shared" si="144"/>
        <v>25</v>
      </c>
      <c r="AP32" s="36">
        <f>AO31</f>
        <v>24</v>
      </c>
      <c r="AQ32" s="149">
        <f>AO33</f>
        <v>26</v>
      </c>
      <c r="AR32" s="36">
        <f t="shared" si="145"/>
        <v>25</v>
      </c>
      <c r="AS32" s="36">
        <f>AR31</f>
        <v>24</v>
      </c>
      <c r="AT32" s="149">
        <v>28</v>
      </c>
      <c r="AU32" s="138">
        <f t="shared" si="146"/>
        <v>24</v>
      </c>
      <c r="AV32" s="36">
        <f>AU31</f>
        <v>23</v>
      </c>
      <c r="AW32" s="149">
        <f>AU35</f>
        <v>27</v>
      </c>
      <c r="AX32" s="36">
        <f t="shared" si="147"/>
        <v>24</v>
      </c>
      <c r="AY32" s="36">
        <f>AX31</f>
        <v>23</v>
      </c>
      <c r="AZ32" s="149">
        <f>AX33</f>
        <v>25</v>
      </c>
      <c r="BA32" s="138">
        <f t="shared" si="148"/>
        <v>23</v>
      </c>
      <c r="BB32" s="36">
        <f>BA31</f>
        <v>22</v>
      </c>
      <c r="BC32" s="149">
        <f>BA33</f>
        <v>24</v>
      </c>
      <c r="BD32" s="36">
        <f t="shared" si="149"/>
        <v>23</v>
      </c>
      <c r="BE32" s="36">
        <f>BD31</f>
        <v>22</v>
      </c>
      <c r="BF32" s="36">
        <f>BD34</f>
        <v>25</v>
      </c>
      <c r="BG32" s="138">
        <f t="shared" si="150"/>
        <v>22</v>
      </c>
      <c r="BH32" s="36">
        <f>BG31</f>
        <v>21</v>
      </c>
      <c r="BI32" s="149">
        <f>BG34</f>
        <v>24</v>
      </c>
      <c r="BJ32" s="138">
        <f t="shared" si="151"/>
        <v>22</v>
      </c>
      <c r="BK32" s="36">
        <f>BJ31</f>
        <v>21</v>
      </c>
      <c r="BL32" s="149" t="str">
        <f>BK33</f>
        <v>VL</v>
      </c>
      <c r="BM32" s="138">
        <f t="shared" si="152"/>
        <v>21</v>
      </c>
      <c r="BN32" s="36">
        <f>BM31</f>
        <v>20</v>
      </c>
      <c r="BO32" s="149" t="str">
        <f>BN33</f>
        <v>VL</v>
      </c>
      <c r="BP32" s="36">
        <f t="shared" si="153"/>
        <v>21</v>
      </c>
      <c r="BQ32" s="36">
        <f>BP31</f>
        <v>20</v>
      </c>
      <c r="BR32" s="149">
        <v>19</v>
      </c>
      <c r="BS32" s="138">
        <f t="shared" si="154"/>
        <v>20</v>
      </c>
      <c r="BT32" s="36">
        <f>BS31</f>
        <v>19</v>
      </c>
      <c r="BU32" s="149">
        <v>18</v>
      </c>
      <c r="BY32" s="138"/>
      <c r="CA32" s="149"/>
      <c r="CE32" s="138"/>
      <c r="CG32" s="149"/>
      <c r="CK32" s="138"/>
      <c r="CM32" s="149"/>
      <c r="CQ32" s="138"/>
      <c r="CS32" s="149"/>
      <c r="CW32" s="138"/>
      <c r="CY32" s="149"/>
      <c r="DC32" s="138"/>
      <c r="DE32" s="149"/>
      <c r="DI32" s="138"/>
      <c r="DK32" s="149"/>
      <c r="DN32" s="36">
        <f t="shared" si="128"/>
        <v>26</v>
      </c>
      <c r="DO32" s="138">
        <f t="shared" si="41"/>
        <v>26</v>
      </c>
      <c r="DP32" s="36">
        <f t="shared" si="42"/>
        <v>26</v>
      </c>
      <c r="DQ32" s="36">
        <f t="shared" si="43"/>
        <v>25</v>
      </c>
      <c r="DR32" s="36">
        <f t="shared" si="44"/>
        <v>25</v>
      </c>
      <c r="DS32" s="36">
        <f t="shared" si="45"/>
        <v>24</v>
      </c>
      <c r="DT32" s="36">
        <f t="shared" si="46"/>
        <v>24</v>
      </c>
      <c r="DU32" s="36">
        <f t="shared" si="47"/>
        <v>23</v>
      </c>
      <c r="DV32" s="36">
        <f t="shared" si="48"/>
        <v>23</v>
      </c>
      <c r="DW32" s="36">
        <f t="shared" si="49"/>
        <v>22</v>
      </c>
      <c r="DX32" s="36">
        <f t="shared" si="50"/>
        <v>22</v>
      </c>
      <c r="DY32" s="36">
        <f t="shared" si="51"/>
        <v>21</v>
      </c>
      <c r="DZ32" s="36">
        <f t="shared" si="52"/>
        <v>21</v>
      </c>
      <c r="EA32" s="36">
        <f t="shared" si="53"/>
        <v>20</v>
      </c>
      <c r="EB32" s="36">
        <f t="shared" si="54"/>
        <v>0</v>
      </c>
      <c r="EC32" s="36">
        <f t="shared" si="55"/>
        <v>0</v>
      </c>
      <c r="ED32" s="36">
        <f t="shared" si="56"/>
        <v>0</v>
      </c>
      <c r="EE32" s="36">
        <f t="shared" si="57"/>
        <v>0</v>
      </c>
      <c r="EF32" s="36">
        <f t="shared" si="58"/>
        <v>0</v>
      </c>
      <c r="EG32" s="36">
        <f t="shared" si="59"/>
        <v>0</v>
      </c>
      <c r="EH32" s="36">
        <f t="shared" si="60"/>
        <v>0</v>
      </c>
      <c r="EI32" s="36">
        <f t="shared" si="61"/>
        <v>0</v>
      </c>
      <c r="EJ32" s="36">
        <f t="shared" si="62"/>
        <v>0</v>
      </c>
      <c r="EK32" s="36">
        <f t="shared" si="63"/>
        <v>0</v>
      </c>
      <c r="EL32" s="36">
        <f t="shared" si="64"/>
        <v>0</v>
      </c>
      <c r="EM32" s="36">
        <f t="shared" si="65"/>
        <v>0</v>
      </c>
      <c r="EN32" s="36">
        <f t="shared" si="66"/>
        <v>0</v>
      </c>
      <c r="EO32" s="149">
        <f t="shared" si="67"/>
        <v>0</v>
      </c>
      <c r="ES32" s="36">
        <f t="shared" si="129"/>
        <v>26</v>
      </c>
      <c r="ET32" s="138">
        <f t="shared" si="68"/>
        <v>25</v>
      </c>
      <c r="EU32" s="36">
        <f t="shared" si="69"/>
        <v>25</v>
      </c>
      <c r="EV32" s="36">
        <f t="shared" si="70"/>
        <v>24</v>
      </c>
      <c r="EW32" s="36">
        <f t="shared" si="71"/>
        <v>24</v>
      </c>
      <c r="EX32" s="36">
        <f t="shared" si="72"/>
        <v>23</v>
      </c>
      <c r="EY32" s="36">
        <f t="shared" si="73"/>
        <v>23</v>
      </c>
      <c r="EZ32" s="36">
        <f t="shared" si="74"/>
        <v>22</v>
      </c>
      <c r="FA32" s="36">
        <f t="shared" si="75"/>
        <v>22</v>
      </c>
      <c r="FB32" s="36">
        <f t="shared" si="76"/>
        <v>21</v>
      </c>
      <c r="FC32" s="36">
        <f t="shared" si="77"/>
        <v>21</v>
      </c>
      <c r="FD32" s="36">
        <f t="shared" si="78"/>
        <v>20</v>
      </c>
      <c r="FE32" s="36">
        <f t="shared" si="79"/>
        <v>20</v>
      </c>
      <c r="FF32" s="36">
        <f t="shared" si="80"/>
        <v>19</v>
      </c>
      <c r="FG32" s="36">
        <f t="shared" si="81"/>
        <v>0</v>
      </c>
      <c r="FH32" s="36">
        <f t="shared" si="82"/>
        <v>0</v>
      </c>
      <c r="FI32" s="36">
        <f t="shared" si="83"/>
        <v>0</v>
      </c>
      <c r="FJ32" s="36">
        <f t="shared" si="84"/>
        <v>0</v>
      </c>
      <c r="FK32" s="36">
        <f t="shared" si="85"/>
        <v>0</v>
      </c>
      <c r="FL32" s="36">
        <f t="shared" si="86"/>
        <v>0</v>
      </c>
      <c r="FM32" s="36">
        <f t="shared" si="87"/>
        <v>0</v>
      </c>
      <c r="FN32" s="36">
        <f t="shared" si="88"/>
        <v>0</v>
      </c>
      <c r="FO32" s="36">
        <f t="shared" si="89"/>
        <v>0</v>
      </c>
      <c r="FP32" s="36">
        <f t="shared" si="90"/>
        <v>0</v>
      </c>
      <c r="FQ32" s="36">
        <f t="shared" si="91"/>
        <v>0</v>
      </c>
      <c r="FR32" s="36">
        <f t="shared" si="92"/>
        <v>0</v>
      </c>
      <c r="FS32" s="36">
        <f t="shared" si="93"/>
        <v>0</v>
      </c>
      <c r="FT32" s="149">
        <f t="shared" si="94"/>
        <v>0</v>
      </c>
      <c r="FX32" s="36">
        <f t="shared" si="130"/>
        <v>26</v>
      </c>
      <c r="FY32" s="138">
        <f t="shared" si="95"/>
        <v>28</v>
      </c>
      <c r="FZ32" s="36">
        <f t="shared" si="96"/>
        <v>27</v>
      </c>
      <c r="GA32" s="36">
        <f t="shared" si="97"/>
        <v>26</v>
      </c>
      <c r="GB32" s="36">
        <f t="shared" si="98"/>
        <v>28</v>
      </c>
      <c r="GC32" s="36">
        <f t="shared" si="99"/>
        <v>27</v>
      </c>
      <c r="GD32" s="36">
        <f t="shared" si="100"/>
        <v>25</v>
      </c>
      <c r="GE32" s="36">
        <f t="shared" si="101"/>
        <v>24</v>
      </c>
      <c r="GF32" s="36">
        <f t="shared" si="102"/>
        <v>25</v>
      </c>
      <c r="GG32" s="36">
        <f t="shared" si="103"/>
        <v>24</v>
      </c>
      <c r="GH32" s="36" t="str">
        <f t="shared" si="104"/>
        <v>VL</v>
      </c>
      <c r="GI32" s="36" t="str">
        <f t="shared" si="105"/>
        <v>VL</v>
      </c>
      <c r="GJ32" s="36">
        <f t="shared" si="106"/>
        <v>19</v>
      </c>
      <c r="GK32" s="36">
        <f t="shared" si="107"/>
        <v>18</v>
      </c>
      <c r="GL32" s="36">
        <f t="shared" si="108"/>
        <v>0</v>
      </c>
      <c r="GM32" s="36">
        <f t="shared" si="109"/>
        <v>0</v>
      </c>
      <c r="GN32" s="36">
        <f t="shared" si="110"/>
        <v>0</v>
      </c>
      <c r="GO32" s="36">
        <f t="shared" si="111"/>
        <v>0</v>
      </c>
      <c r="GP32" s="36">
        <f t="shared" si="112"/>
        <v>0</v>
      </c>
      <c r="GQ32" s="36">
        <f t="shared" si="113"/>
        <v>0</v>
      </c>
      <c r="GR32" s="36">
        <f t="shared" si="114"/>
        <v>0</v>
      </c>
      <c r="GS32" s="36">
        <f t="shared" si="115"/>
        <v>0</v>
      </c>
      <c r="GT32" s="36">
        <f t="shared" si="116"/>
        <v>0</v>
      </c>
      <c r="GU32" s="36">
        <f t="shared" si="117"/>
        <v>0</v>
      </c>
      <c r="GV32" s="36">
        <f t="shared" si="118"/>
        <v>0</v>
      </c>
      <c r="GW32" s="36">
        <f t="shared" si="119"/>
        <v>0</v>
      </c>
      <c r="GX32" s="36">
        <f t="shared" si="120"/>
        <v>0</v>
      </c>
      <c r="GY32" s="149">
        <f t="shared" si="121"/>
        <v>0</v>
      </c>
      <c r="HD32" s="36">
        <f t="shared" si="131"/>
        <v>26</v>
      </c>
      <c r="HE32" s="36">
        <f t="shared" si="122"/>
        <v>0</v>
      </c>
      <c r="HF32" s="36">
        <f t="shared" si="123"/>
        <v>0</v>
      </c>
      <c r="HG32" s="36">
        <f t="shared" si="124"/>
        <v>0</v>
      </c>
      <c r="HK32" s="152"/>
      <c r="HM32" s="153"/>
      <c r="HQ32" s="159" t="str">
        <f t="shared" si="125"/>
        <v/>
      </c>
      <c r="HR32" s="160" t="str">
        <f t="shared" si="126"/>
        <v/>
      </c>
      <c r="HU32" s="36">
        <v>10</v>
      </c>
      <c r="HV32" s="36">
        <f t="shared" si="132"/>
        <v>26</v>
      </c>
      <c r="HW32" s="138">
        <v>26</v>
      </c>
      <c r="HX32" s="36">
        <v>24</v>
      </c>
      <c r="HY32" s="36">
        <v>23</v>
      </c>
      <c r="HZ32" s="36">
        <v>25</v>
      </c>
      <c r="IA32" s="36">
        <v>24</v>
      </c>
      <c r="IB32" s="36">
        <v>22</v>
      </c>
      <c r="IC32" s="36">
        <v>21</v>
      </c>
      <c r="ID32" s="36">
        <v>23</v>
      </c>
      <c r="IE32" s="36">
        <v>22</v>
      </c>
      <c r="IF32" s="36">
        <v>20</v>
      </c>
      <c r="IG32" s="36">
        <v>19</v>
      </c>
      <c r="IH32" s="36">
        <v>21</v>
      </c>
      <c r="II32" s="36">
        <v>20</v>
      </c>
      <c r="IJ32" s="36">
        <v>0</v>
      </c>
      <c r="IK32" s="36">
        <v>0</v>
      </c>
      <c r="IL32" s="36">
        <v>0</v>
      </c>
      <c r="IM32" s="36">
        <v>0</v>
      </c>
      <c r="IN32" s="36">
        <v>0</v>
      </c>
      <c r="IO32" s="36">
        <v>0</v>
      </c>
      <c r="IP32" s="36">
        <v>0</v>
      </c>
      <c r="IQ32" s="36">
        <v>0</v>
      </c>
      <c r="IR32" s="36">
        <v>0</v>
      </c>
      <c r="IS32" s="36">
        <v>0</v>
      </c>
      <c r="IT32" s="36">
        <v>0</v>
      </c>
      <c r="IU32" s="36">
        <v>0</v>
      </c>
      <c r="IV32" s="36">
        <v>0</v>
      </c>
      <c r="IW32" s="149">
        <v>0</v>
      </c>
      <c r="IY32" s="36">
        <f t="shared" si="127"/>
        <v>0</v>
      </c>
    </row>
    <row r="33" spans="1:259" ht="15.9" hidden="1" customHeight="1" x14ac:dyDescent="0.3">
      <c r="A33" s="104">
        <f t="shared" si="137"/>
        <v>27</v>
      </c>
      <c r="B33" s="99"/>
      <c r="C33" s="97"/>
      <c r="D33" s="96"/>
      <c r="E33" s="10"/>
      <c r="F33" s="9"/>
      <c r="G33" s="97"/>
      <c r="H33" s="98"/>
      <c r="I33" s="91"/>
      <c r="U33" s="67"/>
      <c r="AE33" s="36">
        <f t="shared" si="19"/>
        <v>0</v>
      </c>
      <c r="AF33" s="36">
        <f t="shared" si="142"/>
        <v>27</v>
      </c>
      <c r="AH33" s="36">
        <v>11</v>
      </c>
      <c r="AI33" s="138">
        <f t="shared" si="21"/>
        <v>27</v>
      </c>
      <c r="AJ33" s="36">
        <f>AF34</f>
        <v>28</v>
      </c>
      <c r="AK33" s="149">
        <f>AI31</f>
        <v>25</v>
      </c>
      <c r="AL33" s="36">
        <f t="shared" si="143"/>
        <v>27</v>
      </c>
      <c r="AM33" s="36">
        <f>AL34</f>
        <v>28</v>
      </c>
      <c r="AN33" s="149">
        <f>AL32</f>
        <v>26</v>
      </c>
      <c r="AO33" s="138">
        <f t="shared" si="144"/>
        <v>26</v>
      </c>
      <c r="AP33" s="36">
        <f>AO34</f>
        <v>27</v>
      </c>
      <c r="AQ33" s="149">
        <f>AO32</f>
        <v>25</v>
      </c>
      <c r="AR33" s="36">
        <f t="shared" si="145"/>
        <v>26</v>
      </c>
      <c r="AS33" s="36">
        <f>AR34</f>
        <v>27</v>
      </c>
      <c r="AT33" s="149">
        <v>24</v>
      </c>
      <c r="AU33" s="138">
        <f t="shared" si="146"/>
        <v>25</v>
      </c>
      <c r="AV33" s="36">
        <f>AU34</f>
        <v>26</v>
      </c>
      <c r="AW33" s="149">
        <f>AU36</f>
        <v>28</v>
      </c>
      <c r="AX33" s="36">
        <f t="shared" si="147"/>
        <v>25</v>
      </c>
      <c r="AY33" s="36">
        <f>AX34</f>
        <v>26</v>
      </c>
      <c r="AZ33" s="149">
        <f>AX32</f>
        <v>24</v>
      </c>
      <c r="BA33" s="138">
        <f t="shared" si="148"/>
        <v>24</v>
      </c>
      <c r="BB33" s="36">
        <f>BA34</f>
        <v>25</v>
      </c>
      <c r="BC33" s="149">
        <f>BA32</f>
        <v>23</v>
      </c>
      <c r="BD33" s="36">
        <f t="shared" si="149"/>
        <v>24</v>
      </c>
      <c r="BE33" s="36">
        <f>BD34</f>
        <v>25</v>
      </c>
      <c r="BF33" s="36">
        <f>BD31</f>
        <v>22</v>
      </c>
      <c r="BG33" s="138">
        <f t="shared" si="150"/>
        <v>23</v>
      </c>
      <c r="BH33" s="36">
        <f>BG34</f>
        <v>24</v>
      </c>
      <c r="BI33" s="149">
        <f>BG31</f>
        <v>21</v>
      </c>
      <c r="BJ33" s="138">
        <f t="shared" si="151"/>
        <v>23</v>
      </c>
      <c r="BK33" s="36" t="str">
        <f>$AE$1</f>
        <v>VL</v>
      </c>
      <c r="BL33" s="149">
        <f>BJ23</f>
        <v>13</v>
      </c>
      <c r="BM33" s="138">
        <f t="shared" si="152"/>
        <v>22</v>
      </c>
      <c r="BN33" s="36" t="str">
        <f>$AE$1</f>
        <v>VL</v>
      </c>
      <c r="BO33" s="149">
        <f>BM23</f>
        <v>12</v>
      </c>
      <c r="BS33" s="138"/>
      <c r="BU33" s="149"/>
      <c r="BY33" s="138"/>
      <c r="CA33" s="149"/>
      <c r="CE33" s="138"/>
      <c r="CG33" s="149"/>
      <c r="CK33" s="138"/>
      <c r="CM33" s="149"/>
      <c r="CQ33" s="138"/>
      <c r="CS33" s="149"/>
      <c r="CW33" s="138"/>
      <c r="CY33" s="149"/>
      <c r="DC33" s="138"/>
      <c r="DE33" s="149"/>
      <c r="DI33" s="138"/>
      <c r="DK33" s="149"/>
      <c r="DN33" s="36">
        <f t="shared" si="128"/>
        <v>27</v>
      </c>
      <c r="DO33" s="138">
        <f t="shared" si="41"/>
        <v>27</v>
      </c>
      <c r="DP33" s="36">
        <f t="shared" si="42"/>
        <v>27</v>
      </c>
      <c r="DQ33" s="36">
        <f t="shared" si="43"/>
        <v>26</v>
      </c>
      <c r="DR33" s="36">
        <f t="shared" si="44"/>
        <v>26</v>
      </c>
      <c r="DS33" s="36">
        <f t="shared" si="45"/>
        <v>25</v>
      </c>
      <c r="DT33" s="36">
        <f t="shared" si="46"/>
        <v>25</v>
      </c>
      <c r="DU33" s="36">
        <f t="shared" si="47"/>
        <v>24</v>
      </c>
      <c r="DV33" s="36">
        <f t="shared" si="48"/>
        <v>24</v>
      </c>
      <c r="DW33" s="36">
        <f t="shared" si="49"/>
        <v>23</v>
      </c>
      <c r="DX33" s="36">
        <f t="shared" si="50"/>
        <v>23</v>
      </c>
      <c r="DY33" s="36">
        <f t="shared" si="51"/>
        <v>22</v>
      </c>
      <c r="DZ33" s="36">
        <f t="shared" si="52"/>
        <v>0</v>
      </c>
      <c r="EA33" s="36">
        <f t="shared" si="53"/>
        <v>0</v>
      </c>
      <c r="EB33" s="36">
        <f t="shared" si="54"/>
        <v>0</v>
      </c>
      <c r="EC33" s="36">
        <f t="shared" si="55"/>
        <v>0</v>
      </c>
      <c r="ED33" s="36">
        <f t="shared" si="56"/>
        <v>0</v>
      </c>
      <c r="EE33" s="36">
        <f t="shared" si="57"/>
        <v>0</v>
      </c>
      <c r="EF33" s="36">
        <f t="shared" si="58"/>
        <v>0</v>
      </c>
      <c r="EG33" s="36">
        <f t="shared" si="59"/>
        <v>0</v>
      </c>
      <c r="EH33" s="36">
        <f t="shared" si="60"/>
        <v>0</v>
      </c>
      <c r="EI33" s="36">
        <f t="shared" si="61"/>
        <v>0</v>
      </c>
      <c r="EJ33" s="36">
        <f t="shared" si="62"/>
        <v>0</v>
      </c>
      <c r="EK33" s="36">
        <f t="shared" si="63"/>
        <v>0</v>
      </c>
      <c r="EL33" s="36">
        <f t="shared" si="64"/>
        <v>0</v>
      </c>
      <c r="EM33" s="36">
        <f t="shared" si="65"/>
        <v>0</v>
      </c>
      <c r="EN33" s="36">
        <f t="shared" si="66"/>
        <v>0</v>
      </c>
      <c r="EO33" s="149">
        <f t="shared" si="67"/>
        <v>0</v>
      </c>
      <c r="ES33" s="36">
        <f t="shared" si="129"/>
        <v>27</v>
      </c>
      <c r="ET33" s="138">
        <f t="shared" si="68"/>
        <v>28</v>
      </c>
      <c r="EU33" s="36">
        <f t="shared" si="69"/>
        <v>28</v>
      </c>
      <c r="EV33" s="36">
        <f t="shared" si="70"/>
        <v>27</v>
      </c>
      <c r="EW33" s="36">
        <f t="shared" si="71"/>
        <v>27</v>
      </c>
      <c r="EX33" s="36">
        <f t="shared" si="72"/>
        <v>26</v>
      </c>
      <c r="EY33" s="36">
        <f t="shared" si="73"/>
        <v>26</v>
      </c>
      <c r="EZ33" s="36">
        <f t="shared" si="74"/>
        <v>25</v>
      </c>
      <c r="FA33" s="36">
        <f t="shared" si="75"/>
        <v>25</v>
      </c>
      <c r="FB33" s="36">
        <f t="shared" si="76"/>
        <v>24</v>
      </c>
      <c r="FC33" s="36" t="str">
        <f t="shared" si="77"/>
        <v>VL</v>
      </c>
      <c r="FD33" s="36" t="str">
        <f t="shared" si="78"/>
        <v>VL</v>
      </c>
      <c r="FE33" s="36">
        <f t="shared" si="79"/>
        <v>0</v>
      </c>
      <c r="FF33" s="36">
        <f t="shared" si="80"/>
        <v>0</v>
      </c>
      <c r="FG33" s="36">
        <f t="shared" si="81"/>
        <v>0</v>
      </c>
      <c r="FH33" s="36">
        <f t="shared" si="82"/>
        <v>0</v>
      </c>
      <c r="FI33" s="36">
        <f t="shared" si="83"/>
        <v>0</v>
      </c>
      <c r="FJ33" s="36">
        <f t="shared" si="84"/>
        <v>0</v>
      </c>
      <c r="FK33" s="36">
        <f t="shared" si="85"/>
        <v>0</v>
      </c>
      <c r="FL33" s="36">
        <f t="shared" si="86"/>
        <v>0</v>
      </c>
      <c r="FM33" s="36">
        <f t="shared" si="87"/>
        <v>0</v>
      </c>
      <c r="FN33" s="36">
        <f t="shared" si="88"/>
        <v>0</v>
      </c>
      <c r="FO33" s="36">
        <f t="shared" si="89"/>
        <v>0</v>
      </c>
      <c r="FP33" s="36">
        <f t="shared" si="90"/>
        <v>0</v>
      </c>
      <c r="FQ33" s="36">
        <f t="shared" si="91"/>
        <v>0</v>
      </c>
      <c r="FR33" s="36">
        <f t="shared" si="92"/>
        <v>0</v>
      </c>
      <c r="FS33" s="36">
        <f t="shared" si="93"/>
        <v>0</v>
      </c>
      <c r="FT33" s="149">
        <f t="shared" si="94"/>
        <v>0</v>
      </c>
      <c r="FX33" s="36">
        <f t="shared" si="130"/>
        <v>27</v>
      </c>
      <c r="FY33" s="138">
        <f t="shared" si="95"/>
        <v>25</v>
      </c>
      <c r="FZ33" s="36">
        <f t="shared" si="96"/>
        <v>26</v>
      </c>
      <c r="GA33" s="36">
        <f t="shared" si="97"/>
        <v>25</v>
      </c>
      <c r="GB33" s="36">
        <f t="shared" si="98"/>
        <v>24</v>
      </c>
      <c r="GC33" s="36">
        <f t="shared" si="99"/>
        <v>28</v>
      </c>
      <c r="GD33" s="36">
        <f t="shared" si="100"/>
        <v>24</v>
      </c>
      <c r="GE33" s="36">
        <f t="shared" si="101"/>
        <v>23</v>
      </c>
      <c r="GF33" s="36">
        <f t="shared" si="102"/>
        <v>22</v>
      </c>
      <c r="GG33" s="36">
        <f t="shared" si="103"/>
        <v>21</v>
      </c>
      <c r="GH33" s="36">
        <f t="shared" si="104"/>
        <v>13</v>
      </c>
      <c r="GI33" s="36">
        <f t="shared" si="105"/>
        <v>12</v>
      </c>
      <c r="GJ33" s="36">
        <f t="shared" si="106"/>
        <v>0</v>
      </c>
      <c r="GK33" s="36">
        <f t="shared" si="107"/>
        <v>0</v>
      </c>
      <c r="GL33" s="36">
        <f t="shared" si="108"/>
        <v>0</v>
      </c>
      <c r="GM33" s="36">
        <f t="shared" si="109"/>
        <v>0</v>
      </c>
      <c r="GN33" s="36">
        <f t="shared" si="110"/>
        <v>0</v>
      </c>
      <c r="GO33" s="36">
        <f t="shared" si="111"/>
        <v>0</v>
      </c>
      <c r="GP33" s="36">
        <f t="shared" si="112"/>
        <v>0</v>
      </c>
      <c r="GQ33" s="36">
        <f t="shared" si="113"/>
        <v>0</v>
      </c>
      <c r="GR33" s="36">
        <f t="shared" si="114"/>
        <v>0</v>
      </c>
      <c r="GS33" s="36">
        <f t="shared" si="115"/>
        <v>0</v>
      </c>
      <c r="GT33" s="36">
        <f t="shared" si="116"/>
        <v>0</v>
      </c>
      <c r="GU33" s="36">
        <f t="shared" si="117"/>
        <v>0</v>
      </c>
      <c r="GV33" s="36">
        <f t="shared" si="118"/>
        <v>0</v>
      </c>
      <c r="GW33" s="36">
        <f t="shared" si="119"/>
        <v>0</v>
      </c>
      <c r="GX33" s="36">
        <f t="shared" si="120"/>
        <v>0</v>
      </c>
      <c r="GY33" s="149">
        <f t="shared" si="121"/>
        <v>0</v>
      </c>
      <c r="HD33" s="36">
        <f t="shared" si="131"/>
        <v>27</v>
      </c>
      <c r="HE33" s="36">
        <f t="shared" si="122"/>
        <v>0</v>
      </c>
      <c r="HF33" s="36">
        <f t="shared" si="123"/>
        <v>0</v>
      </c>
      <c r="HG33" s="36">
        <f t="shared" si="124"/>
        <v>0</v>
      </c>
      <c r="HJ33" s="36">
        <f>HJ31+1</f>
        <v>14</v>
      </c>
      <c r="HK33" s="152" t="str">
        <f>IF(HE20=0,"",HE20)</f>
        <v/>
      </c>
      <c r="HL33" s="36" t="str">
        <f>IF(HF20=0,"",HF20)</f>
        <v/>
      </c>
      <c r="HM33" s="153" t="str">
        <f>IF(HG20=0,"",HG20)</f>
        <v/>
      </c>
      <c r="HQ33" s="159" t="str">
        <f t="shared" si="125"/>
        <v/>
      </c>
      <c r="HR33" s="160" t="str">
        <f t="shared" si="126"/>
        <v/>
      </c>
      <c r="HU33" s="36">
        <v>11</v>
      </c>
      <c r="HV33" s="36">
        <f t="shared" si="132"/>
        <v>27</v>
      </c>
      <c r="HW33" s="138">
        <v>27</v>
      </c>
      <c r="HX33" s="36">
        <v>25</v>
      </c>
      <c r="HY33" s="36">
        <v>24</v>
      </c>
      <c r="HZ33" s="36">
        <v>26</v>
      </c>
      <c r="IA33" s="36">
        <v>25</v>
      </c>
      <c r="IB33" s="36">
        <v>23</v>
      </c>
      <c r="IC33" s="36">
        <v>22</v>
      </c>
      <c r="ID33" s="36">
        <v>24</v>
      </c>
      <c r="IE33" s="36">
        <v>23</v>
      </c>
      <c r="IF33" s="36">
        <v>21</v>
      </c>
      <c r="IG33" s="36">
        <v>20</v>
      </c>
      <c r="IH33" s="36">
        <v>0</v>
      </c>
      <c r="II33" s="36">
        <v>0</v>
      </c>
      <c r="IJ33" s="36">
        <v>0</v>
      </c>
      <c r="IK33" s="36">
        <v>0</v>
      </c>
      <c r="IL33" s="36">
        <v>0</v>
      </c>
      <c r="IM33" s="36">
        <v>0</v>
      </c>
      <c r="IN33" s="36">
        <v>0</v>
      </c>
      <c r="IO33" s="36">
        <v>0</v>
      </c>
      <c r="IP33" s="36">
        <v>0</v>
      </c>
      <c r="IQ33" s="36">
        <v>0</v>
      </c>
      <c r="IR33" s="36">
        <v>0</v>
      </c>
      <c r="IS33" s="36">
        <v>0</v>
      </c>
      <c r="IT33" s="36">
        <v>0</v>
      </c>
      <c r="IU33" s="36">
        <v>0</v>
      </c>
      <c r="IV33" s="36">
        <v>0</v>
      </c>
      <c r="IW33" s="149">
        <v>0</v>
      </c>
      <c r="IY33" s="36">
        <f t="shared" si="127"/>
        <v>0</v>
      </c>
    </row>
    <row r="34" spans="1:259" ht="15.9" hidden="1" customHeight="1" x14ac:dyDescent="0.3">
      <c r="A34" s="104">
        <f t="shared" si="137"/>
        <v>28</v>
      </c>
      <c r="B34" s="99"/>
      <c r="C34" s="97"/>
      <c r="D34" s="96"/>
      <c r="E34" s="10"/>
      <c r="F34" s="9"/>
      <c r="G34" s="97"/>
      <c r="H34" s="98"/>
      <c r="I34" s="91"/>
      <c r="AE34" s="36">
        <f t="shared" si="19"/>
        <v>0</v>
      </c>
      <c r="AF34" s="36">
        <f t="shared" si="142"/>
        <v>28</v>
      </c>
      <c r="AH34" s="36">
        <v>12</v>
      </c>
      <c r="AI34" s="138">
        <f t="shared" si="21"/>
        <v>28</v>
      </c>
      <c r="AJ34" s="36">
        <f>AF33</f>
        <v>27</v>
      </c>
      <c r="AK34" s="149">
        <f>AI32</f>
        <v>26</v>
      </c>
      <c r="AL34" s="36">
        <f t="shared" si="143"/>
        <v>28</v>
      </c>
      <c r="AM34" s="36">
        <f>AL33</f>
        <v>27</v>
      </c>
      <c r="AN34" s="149">
        <f>AL35</f>
        <v>29</v>
      </c>
      <c r="AO34" s="138">
        <f t="shared" si="144"/>
        <v>27</v>
      </c>
      <c r="AP34" s="36">
        <f>AO33</f>
        <v>26</v>
      </c>
      <c r="AQ34" s="149">
        <f>AO35</f>
        <v>28</v>
      </c>
      <c r="AR34" s="36">
        <f t="shared" si="145"/>
        <v>27</v>
      </c>
      <c r="AS34" s="36">
        <f>AR33</f>
        <v>26</v>
      </c>
      <c r="AT34" s="149">
        <v>29</v>
      </c>
      <c r="AU34" s="138">
        <f t="shared" si="146"/>
        <v>26</v>
      </c>
      <c r="AV34" s="36">
        <f>AU33</f>
        <v>25</v>
      </c>
      <c r="AW34" s="149">
        <v>28</v>
      </c>
      <c r="AX34" s="36">
        <f t="shared" si="147"/>
        <v>26</v>
      </c>
      <c r="AY34" s="36">
        <f>AX33</f>
        <v>25</v>
      </c>
      <c r="AZ34" s="149" t="str">
        <f>AY35</f>
        <v>VL</v>
      </c>
      <c r="BA34" s="138">
        <f t="shared" si="148"/>
        <v>25</v>
      </c>
      <c r="BB34" s="36">
        <f>BA33</f>
        <v>24</v>
      </c>
      <c r="BC34" s="149" t="str">
        <f>BB35</f>
        <v>VL</v>
      </c>
      <c r="BD34" s="36">
        <f t="shared" si="149"/>
        <v>25</v>
      </c>
      <c r="BE34" s="36">
        <f>BD33</f>
        <v>24</v>
      </c>
      <c r="BF34" s="36">
        <f>BD32</f>
        <v>23</v>
      </c>
      <c r="BG34" s="138">
        <f t="shared" si="150"/>
        <v>24</v>
      </c>
      <c r="BH34" s="36">
        <f>BG33</f>
        <v>23</v>
      </c>
      <c r="BI34" s="149">
        <f>BG32</f>
        <v>22</v>
      </c>
      <c r="BJ34" s="138"/>
      <c r="BK34" s="36"/>
      <c r="BL34" s="36"/>
      <c r="BM34" s="138"/>
      <c r="BN34" s="36"/>
      <c r="BO34" s="149"/>
      <c r="BS34" s="138"/>
      <c r="BU34" s="149"/>
      <c r="BY34" s="138"/>
      <c r="CA34" s="149"/>
      <c r="CE34" s="138"/>
      <c r="CG34" s="149"/>
      <c r="CK34" s="138"/>
      <c r="CM34" s="149"/>
      <c r="CQ34" s="138"/>
      <c r="CS34" s="149"/>
      <c r="CW34" s="138"/>
      <c r="CY34" s="149"/>
      <c r="DC34" s="138"/>
      <c r="DE34" s="149"/>
      <c r="DI34" s="138"/>
      <c r="DK34" s="149"/>
      <c r="DN34" s="36">
        <f t="shared" si="128"/>
        <v>28</v>
      </c>
      <c r="DO34" s="138">
        <f t="shared" si="41"/>
        <v>28</v>
      </c>
      <c r="DP34" s="36">
        <f t="shared" si="42"/>
        <v>28</v>
      </c>
      <c r="DQ34" s="36">
        <f t="shared" si="43"/>
        <v>27</v>
      </c>
      <c r="DR34" s="36">
        <f t="shared" si="44"/>
        <v>27</v>
      </c>
      <c r="DS34" s="36">
        <f t="shared" si="45"/>
        <v>26</v>
      </c>
      <c r="DT34" s="36">
        <f t="shared" si="46"/>
        <v>26</v>
      </c>
      <c r="DU34" s="36">
        <f t="shared" si="47"/>
        <v>25</v>
      </c>
      <c r="DV34" s="36">
        <f t="shared" si="48"/>
        <v>25</v>
      </c>
      <c r="DW34" s="36">
        <f t="shared" si="49"/>
        <v>24</v>
      </c>
      <c r="DX34" s="36">
        <f t="shared" si="50"/>
        <v>0</v>
      </c>
      <c r="DY34" s="36">
        <f t="shared" si="51"/>
        <v>0</v>
      </c>
      <c r="DZ34" s="36">
        <f t="shared" si="52"/>
        <v>0</v>
      </c>
      <c r="EA34" s="36">
        <f t="shared" si="53"/>
        <v>0</v>
      </c>
      <c r="EB34" s="36">
        <f t="shared" si="54"/>
        <v>0</v>
      </c>
      <c r="EC34" s="36">
        <f t="shared" si="55"/>
        <v>0</v>
      </c>
      <c r="ED34" s="36">
        <f t="shared" si="56"/>
        <v>0</v>
      </c>
      <c r="EE34" s="36">
        <f t="shared" si="57"/>
        <v>0</v>
      </c>
      <c r="EF34" s="36">
        <f t="shared" si="58"/>
        <v>0</v>
      </c>
      <c r="EG34" s="36">
        <f t="shared" si="59"/>
        <v>0</v>
      </c>
      <c r="EH34" s="36">
        <f t="shared" si="60"/>
        <v>0</v>
      </c>
      <c r="EI34" s="36">
        <f t="shared" si="61"/>
        <v>0</v>
      </c>
      <c r="EJ34" s="36">
        <f t="shared" si="62"/>
        <v>0</v>
      </c>
      <c r="EK34" s="36">
        <f t="shared" si="63"/>
        <v>0</v>
      </c>
      <c r="EL34" s="36">
        <f t="shared" si="64"/>
        <v>0</v>
      </c>
      <c r="EM34" s="36">
        <f t="shared" si="65"/>
        <v>0</v>
      </c>
      <c r="EN34" s="36">
        <f t="shared" si="66"/>
        <v>0</v>
      </c>
      <c r="EO34" s="149">
        <f t="shared" si="67"/>
        <v>0</v>
      </c>
      <c r="ES34" s="36">
        <f t="shared" si="129"/>
        <v>28</v>
      </c>
      <c r="ET34" s="138">
        <f t="shared" si="68"/>
        <v>27</v>
      </c>
      <c r="EU34" s="36">
        <f t="shared" si="69"/>
        <v>27</v>
      </c>
      <c r="EV34" s="36">
        <f t="shared" si="70"/>
        <v>26</v>
      </c>
      <c r="EW34" s="36">
        <f t="shared" si="71"/>
        <v>26</v>
      </c>
      <c r="EX34" s="36">
        <f t="shared" si="72"/>
        <v>25</v>
      </c>
      <c r="EY34" s="36">
        <f t="shared" si="73"/>
        <v>25</v>
      </c>
      <c r="EZ34" s="36">
        <f t="shared" si="74"/>
        <v>24</v>
      </c>
      <c r="FA34" s="36">
        <f t="shared" si="75"/>
        <v>24</v>
      </c>
      <c r="FB34" s="36">
        <f t="shared" si="76"/>
        <v>23</v>
      </c>
      <c r="FC34" s="36">
        <f t="shared" si="77"/>
        <v>0</v>
      </c>
      <c r="FD34" s="36">
        <f t="shared" si="78"/>
        <v>0</v>
      </c>
      <c r="FE34" s="36">
        <f t="shared" si="79"/>
        <v>0</v>
      </c>
      <c r="FF34" s="36">
        <f t="shared" si="80"/>
        <v>0</v>
      </c>
      <c r="FG34" s="36">
        <f t="shared" si="81"/>
        <v>0</v>
      </c>
      <c r="FH34" s="36">
        <f t="shared" si="82"/>
        <v>0</v>
      </c>
      <c r="FI34" s="36">
        <f t="shared" si="83"/>
        <v>0</v>
      </c>
      <c r="FJ34" s="36">
        <f t="shared" si="84"/>
        <v>0</v>
      </c>
      <c r="FK34" s="36">
        <f t="shared" si="85"/>
        <v>0</v>
      </c>
      <c r="FL34" s="36">
        <f t="shared" si="86"/>
        <v>0</v>
      </c>
      <c r="FM34" s="36">
        <f t="shared" si="87"/>
        <v>0</v>
      </c>
      <c r="FN34" s="36">
        <f t="shared" si="88"/>
        <v>0</v>
      </c>
      <c r="FO34" s="36">
        <f t="shared" si="89"/>
        <v>0</v>
      </c>
      <c r="FP34" s="36">
        <f t="shared" si="90"/>
        <v>0</v>
      </c>
      <c r="FQ34" s="36">
        <f t="shared" si="91"/>
        <v>0</v>
      </c>
      <c r="FR34" s="36">
        <f t="shared" si="92"/>
        <v>0</v>
      </c>
      <c r="FS34" s="36">
        <f t="shared" si="93"/>
        <v>0</v>
      </c>
      <c r="FT34" s="149">
        <f t="shared" si="94"/>
        <v>0</v>
      </c>
      <c r="FX34" s="36">
        <f t="shared" si="130"/>
        <v>28</v>
      </c>
      <c r="FY34" s="138">
        <f t="shared" si="95"/>
        <v>26</v>
      </c>
      <c r="FZ34" s="36">
        <f t="shared" si="96"/>
        <v>29</v>
      </c>
      <c r="GA34" s="36">
        <f t="shared" si="97"/>
        <v>28</v>
      </c>
      <c r="GB34" s="36">
        <f t="shared" si="98"/>
        <v>29</v>
      </c>
      <c r="GC34" s="36">
        <f t="shared" si="99"/>
        <v>28</v>
      </c>
      <c r="GD34" s="36" t="str">
        <f t="shared" si="100"/>
        <v>VL</v>
      </c>
      <c r="GE34" s="36" t="str">
        <f t="shared" si="101"/>
        <v>VL</v>
      </c>
      <c r="GF34" s="36">
        <f t="shared" si="102"/>
        <v>23</v>
      </c>
      <c r="GG34" s="36">
        <f t="shared" si="103"/>
        <v>22</v>
      </c>
      <c r="GH34" s="36">
        <f t="shared" si="104"/>
        <v>0</v>
      </c>
      <c r="GI34" s="36">
        <f t="shared" si="105"/>
        <v>0</v>
      </c>
      <c r="GJ34" s="36">
        <f t="shared" si="106"/>
        <v>0</v>
      </c>
      <c r="GK34" s="36">
        <f t="shared" si="107"/>
        <v>0</v>
      </c>
      <c r="GL34" s="36">
        <f t="shared" si="108"/>
        <v>0</v>
      </c>
      <c r="GM34" s="36">
        <f t="shared" si="109"/>
        <v>0</v>
      </c>
      <c r="GN34" s="36">
        <f t="shared" si="110"/>
        <v>0</v>
      </c>
      <c r="GO34" s="36">
        <f t="shared" si="111"/>
        <v>0</v>
      </c>
      <c r="GP34" s="36">
        <f t="shared" si="112"/>
        <v>0</v>
      </c>
      <c r="GQ34" s="36">
        <f t="shared" si="113"/>
        <v>0</v>
      </c>
      <c r="GR34" s="36">
        <f t="shared" si="114"/>
        <v>0</v>
      </c>
      <c r="GS34" s="36">
        <f t="shared" si="115"/>
        <v>0</v>
      </c>
      <c r="GT34" s="36">
        <f t="shared" si="116"/>
        <v>0</v>
      </c>
      <c r="GU34" s="36">
        <f t="shared" si="117"/>
        <v>0</v>
      </c>
      <c r="GV34" s="36">
        <f t="shared" si="118"/>
        <v>0</v>
      </c>
      <c r="GW34" s="36">
        <f t="shared" si="119"/>
        <v>0</v>
      </c>
      <c r="GX34" s="36">
        <f t="shared" si="120"/>
        <v>0</v>
      </c>
      <c r="GY34" s="149">
        <f t="shared" si="121"/>
        <v>0</v>
      </c>
      <c r="HD34" s="36">
        <f t="shared" si="131"/>
        <v>28</v>
      </c>
      <c r="HE34" s="36">
        <f t="shared" si="122"/>
        <v>0</v>
      </c>
      <c r="HF34" s="36">
        <f t="shared" si="123"/>
        <v>0</v>
      </c>
      <c r="HG34" s="36">
        <f t="shared" si="124"/>
        <v>0</v>
      </c>
      <c r="HK34" s="152"/>
      <c r="HM34" s="153"/>
      <c r="HQ34" s="159" t="str">
        <f t="shared" si="125"/>
        <v/>
      </c>
      <c r="HR34" s="160" t="str">
        <f t="shared" si="126"/>
        <v/>
      </c>
      <c r="HU34" s="36">
        <v>12</v>
      </c>
      <c r="HV34" s="36">
        <f t="shared" si="132"/>
        <v>28</v>
      </c>
      <c r="HW34" s="138">
        <v>28</v>
      </c>
      <c r="HX34" s="36">
        <v>26</v>
      </c>
      <c r="HY34" s="36">
        <v>25</v>
      </c>
      <c r="HZ34" s="36">
        <v>27</v>
      </c>
      <c r="IA34" s="36">
        <v>26</v>
      </c>
      <c r="IB34" s="36">
        <v>24</v>
      </c>
      <c r="IC34" s="36">
        <v>23</v>
      </c>
      <c r="ID34" s="36">
        <v>25</v>
      </c>
      <c r="IE34" s="36">
        <v>24</v>
      </c>
      <c r="IF34" s="36">
        <v>0</v>
      </c>
      <c r="IG34" s="36">
        <v>0</v>
      </c>
      <c r="IH34" s="36">
        <v>0</v>
      </c>
      <c r="II34" s="36">
        <v>0</v>
      </c>
      <c r="IJ34" s="36">
        <v>0</v>
      </c>
      <c r="IK34" s="36">
        <v>0</v>
      </c>
      <c r="IL34" s="36">
        <v>0</v>
      </c>
      <c r="IM34" s="36">
        <v>0</v>
      </c>
      <c r="IN34" s="36">
        <v>0</v>
      </c>
      <c r="IO34" s="36">
        <v>0</v>
      </c>
      <c r="IP34" s="36">
        <v>0</v>
      </c>
      <c r="IQ34" s="36">
        <v>0</v>
      </c>
      <c r="IR34" s="36">
        <v>0</v>
      </c>
      <c r="IS34" s="36">
        <v>0</v>
      </c>
      <c r="IT34" s="36">
        <v>0</v>
      </c>
      <c r="IU34" s="36">
        <v>0</v>
      </c>
      <c r="IV34" s="36">
        <v>0</v>
      </c>
      <c r="IW34" s="149">
        <v>0</v>
      </c>
      <c r="IY34" s="36">
        <f t="shared" si="127"/>
        <v>0</v>
      </c>
    </row>
    <row r="35" spans="1:259" ht="15.9" hidden="1" customHeight="1" x14ac:dyDescent="0.3">
      <c r="A35" s="104">
        <f t="shared" si="137"/>
        <v>29</v>
      </c>
      <c r="B35" s="99"/>
      <c r="C35" s="97"/>
      <c r="D35" s="96"/>
      <c r="E35" s="10"/>
      <c r="F35" s="9"/>
      <c r="G35" s="97"/>
      <c r="H35" s="98"/>
      <c r="I35" s="91"/>
      <c r="T35" s="53" t="str">
        <f>[1]List1!$A$104</f>
        <v>chyba</v>
      </c>
      <c r="AE35" s="36">
        <f t="shared" si="19"/>
        <v>0</v>
      </c>
      <c r="AF35" s="36">
        <f t="shared" si="142"/>
        <v>29</v>
      </c>
      <c r="AH35" s="36">
        <v>13</v>
      </c>
      <c r="AI35" s="138">
        <f t="shared" si="21"/>
        <v>29</v>
      </c>
      <c r="AJ35" s="36">
        <f>AF36</f>
        <v>30</v>
      </c>
      <c r="AK35" s="149">
        <f>AI37</f>
        <v>31</v>
      </c>
      <c r="AL35" s="36">
        <f t="shared" si="143"/>
        <v>29</v>
      </c>
      <c r="AM35" s="36">
        <f>AL36</f>
        <v>30</v>
      </c>
      <c r="AN35" s="149">
        <f>AL34</f>
        <v>28</v>
      </c>
      <c r="AO35" s="138">
        <f t="shared" si="144"/>
        <v>28</v>
      </c>
      <c r="AP35" s="36">
        <f>AO36</f>
        <v>29</v>
      </c>
      <c r="AQ35" s="149">
        <f>AO34</f>
        <v>27</v>
      </c>
      <c r="AR35" s="36">
        <f t="shared" si="145"/>
        <v>28</v>
      </c>
      <c r="AS35" s="36">
        <f>AR36</f>
        <v>29</v>
      </c>
      <c r="AT35" s="149">
        <v>25</v>
      </c>
      <c r="AU35" s="138">
        <f t="shared" si="146"/>
        <v>27</v>
      </c>
      <c r="AV35" s="36">
        <f>AU36</f>
        <v>28</v>
      </c>
      <c r="AW35" s="149">
        <f>AU32</f>
        <v>24</v>
      </c>
      <c r="AX35" s="36">
        <f t="shared" si="147"/>
        <v>27</v>
      </c>
      <c r="AY35" s="36" t="str">
        <f>$AE$1</f>
        <v>VL</v>
      </c>
      <c r="AZ35" s="149">
        <f>AX23</f>
        <v>15</v>
      </c>
      <c r="BA35" s="138">
        <f t="shared" si="148"/>
        <v>26</v>
      </c>
      <c r="BB35" s="36" t="str">
        <f>$AE$1</f>
        <v>VL</v>
      </c>
      <c r="BC35" s="149">
        <f>BA23</f>
        <v>14</v>
      </c>
      <c r="BG35" s="138"/>
      <c r="BH35" s="36"/>
      <c r="BI35" s="149"/>
      <c r="BJ35" s="138"/>
      <c r="BK35" s="36"/>
      <c r="BL35" s="36"/>
      <c r="BM35" s="138"/>
      <c r="BN35" s="36"/>
      <c r="BO35" s="149"/>
      <c r="BS35" s="138"/>
      <c r="BU35" s="149"/>
      <c r="BY35" s="138"/>
      <c r="CA35" s="149"/>
      <c r="CE35" s="138"/>
      <c r="CG35" s="149"/>
      <c r="CK35" s="138"/>
      <c r="CM35" s="149"/>
      <c r="CQ35" s="138"/>
      <c r="CS35" s="149"/>
      <c r="CW35" s="138"/>
      <c r="CY35" s="149"/>
      <c r="DC35" s="138"/>
      <c r="DE35" s="149"/>
      <c r="DI35" s="138"/>
      <c r="DK35" s="149"/>
      <c r="DN35" s="36">
        <f t="shared" si="128"/>
        <v>29</v>
      </c>
      <c r="DO35" s="138">
        <f t="shared" si="41"/>
        <v>29</v>
      </c>
      <c r="DP35" s="36">
        <f t="shared" si="42"/>
        <v>29</v>
      </c>
      <c r="DQ35" s="36">
        <f t="shared" si="43"/>
        <v>28</v>
      </c>
      <c r="DR35" s="36">
        <f t="shared" si="44"/>
        <v>28</v>
      </c>
      <c r="DS35" s="36">
        <f t="shared" si="45"/>
        <v>27</v>
      </c>
      <c r="DT35" s="36">
        <f t="shared" si="46"/>
        <v>27</v>
      </c>
      <c r="DU35" s="36">
        <f t="shared" si="47"/>
        <v>26</v>
      </c>
      <c r="DV35" s="36">
        <f t="shared" si="48"/>
        <v>0</v>
      </c>
      <c r="DW35" s="36">
        <f t="shared" si="49"/>
        <v>0</v>
      </c>
      <c r="DX35" s="36">
        <f t="shared" si="50"/>
        <v>0</v>
      </c>
      <c r="DY35" s="36">
        <f t="shared" si="51"/>
        <v>0</v>
      </c>
      <c r="DZ35" s="36">
        <f t="shared" si="52"/>
        <v>0</v>
      </c>
      <c r="EA35" s="36">
        <f t="shared" si="53"/>
        <v>0</v>
      </c>
      <c r="EB35" s="36">
        <f t="shared" si="54"/>
        <v>0</v>
      </c>
      <c r="EC35" s="36">
        <f t="shared" si="55"/>
        <v>0</v>
      </c>
      <c r="ED35" s="36">
        <f t="shared" si="56"/>
        <v>0</v>
      </c>
      <c r="EE35" s="36">
        <f t="shared" si="57"/>
        <v>0</v>
      </c>
      <c r="EF35" s="36">
        <f t="shared" si="58"/>
        <v>0</v>
      </c>
      <c r="EG35" s="36">
        <f t="shared" si="59"/>
        <v>0</v>
      </c>
      <c r="EH35" s="36">
        <f t="shared" si="60"/>
        <v>0</v>
      </c>
      <c r="EI35" s="36">
        <f t="shared" si="61"/>
        <v>0</v>
      </c>
      <c r="EJ35" s="36">
        <f t="shared" si="62"/>
        <v>0</v>
      </c>
      <c r="EK35" s="36">
        <f t="shared" si="63"/>
        <v>0</v>
      </c>
      <c r="EL35" s="36">
        <f t="shared" si="64"/>
        <v>0</v>
      </c>
      <c r="EM35" s="36">
        <f t="shared" si="65"/>
        <v>0</v>
      </c>
      <c r="EN35" s="36">
        <f t="shared" si="66"/>
        <v>0</v>
      </c>
      <c r="EO35" s="149">
        <f t="shared" si="67"/>
        <v>0</v>
      </c>
      <c r="ES35" s="36">
        <f t="shared" si="129"/>
        <v>29</v>
      </c>
      <c r="ET35" s="138">
        <f t="shared" si="68"/>
        <v>30</v>
      </c>
      <c r="EU35" s="36">
        <f t="shared" si="69"/>
        <v>30</v>
      </c>
      <c r="EV35" s="36">
        <f t="shared" si="70"/>
        <v>29</v>
      </c>
      <c r="EW35" s="36">
        <f t="shared" si="71"/>
        <v>29</v>
      </c>
      <c r="EX35" s="36">
        <f t="shared" si="72"/>
        <v>28</v>
      </c>
      <c r="EY35" s="36" t="str">
        <f t="shared" si="73"/>
        <v>VL</v>
      </c>
      <c r="EZ35" s="36" t="str">
        <f t="shared" si="74"/>
        <v>VL</v>
      </c>
      <c r="FA35" s="36">
        <f t="shared" si="75"/>
        <v>0</v>
      </c>
      <c r="FB35" s="36">
        <f t="shared" si="76"/>
        <v>0</v>
      </c>
      <c r="FC35" s="36">
        <f t="shared" si="77"/>
        <v>0</v>
      </c>
      <c r="FD35" s="36">
        <f t="shared" si="78"/>
        <v>0</v>
      </c>
      <c r="FE35" s="36">
        <f t="shared" si="79"/>
        <v>0</v>
      </c>
      <c r="FF35" s="36">
        <f t="shared" si="80"/>
        <v>0</v>
      </c>
      <c r="FG35" s="36">
        <f t="shared" si="81"/>
        <v>0</v>
      </c>
      <c r="FH35" s="36">
        <f t="shared" si="82"/>
        <v>0</v>
      </c>
      <c r="FI35" s="36">
        <f t="shared" si="83"/>
        <v>0</v>
      </c>
      <c r="FJ35" s="36">
        <f t="shared" si="84"/>
        <v>0</v>
      </c>
      <c r="FK35" s="36">
        <f t="shared" si="85"/>
        <v>0</v>
      </c>
      <c r="FL35" s="36">
        <f t="shared" si="86"/>
        <v>0</v>
      </c>
      <c r="FM35" s="36">
        <f t="shared" si="87"/>
        <v>0</v>
      </c>
      <c r="FN35" s="36">
        <f t="shared" si="88"/>
        <v>0</v>
      </c>
      <c r="FO35" s="36">
        <f t="shared" si="89"/>
        <v>0</v>
      </c>
      <c r="FP35" s="36">
        <f t="shared" si="90"/>
        <v>0</v>
      </c>
      <c r="FQ35" s="36">
        <f t="shared" si="91"/>
        <v>0</v>
      </c>
      <c r="FR35" s="36">
        <f t="shared" si="92"/>
        <v>0</v>
      </c>
      <c r="FS35" s="36">
        <f t="shared" si="93"/>
        <v>0</v>
      </c>
      <c r="FT35" s="149">
        <f t="shared" si="94"/>
        <v>0</v>
      </c>
      <c r="FX35" s="36">
        <f t="shared" si="130"/>
        <v>29</v>
      </c>
      <c r="FY35" s="138">
        <f t="shared" si="95"/>
        <v>31</v>
      </c>
      <c r="FZ35" s="36">
        <f t="shared" si="96"/>
        <v>28</v>
      </c>
      <c r="GA35" s="36">
        <f t="shared" si="97"/>
        <v>27</v>
      </c>
      <c r="GB35" s="36">
        <f t="shared" si="98"/>
        <v>25</v>
      </c>
      <c r="GC35" s="36">
        <f t="shared" si="99"/>
        <v>24</v>
      </c>
      <c r="GD35" s="36">
        <f t="shared" si="100"/>
        <v>15</v>
      </c>
      <c r="GE35" s="36">
        <f t="shared" si="101"/>
        <v>14</v>
      </c>
      <c r="GF35" s="36">
        <f t="shared" si="102"/>
        <v>0</v>
      </c>
      <c r="GG35" s="36">
        <f t="shared" si="103"/>
        <v>0</v>
      </c>
      <c r="GH35" s="36">
        <f t="shared" si="104"/>
        <v>0</v>
      </c>
      <c r="GI35" s="36">
        <f t="shared" si="105"/>
        <v>0</v>
      </c>
      <c r="GJ35" s="36">
        <f t="shared" si="106"/>
        <v>0</v>
      </c>
      <c r="GK35" s="36">
        <f t="shared" si="107"/>
        <v>0</v>
      </c>
      <c r="GL35" s="36">
        <f t="shared" si="108"/>
        <v>0</v>
      </c>
      <c r="GM35" s="36">
        <f t="shared" si="109"/>
        <v>0</v>
      </c>
      <c r="GN35" s="36">
        <f t="shared" si="110"/>
        <v>0</v>
      </c>
      <c r="GO35" s="36">
        <f t="shared" si="111"/>
        <v>0</v>
      </c>
      <c r="GP35" s="36">
        <f t="shared" si="112"/>
        <v>0</v>
      </c>
      <c r="GQ35" s="36">
        <f t="shared" si="113"/>
        <v>0</v>
      </c>
      <c r="GR35" s="36">
        <f t="shared" si="114"/>
        <v>0</v>
      </c>
      <c r="GS35" s="36">
        <f t="shared" si="115"/>
        <v>0</v>
      </c>
      <c r="GT35" s="36">
        <f t="shared" si="116"/>
        <v>0</v>
      </c>
      <c r="GU35" s="36">
        <f t="shared" si="117"/>
        <v>0</v>
      </c>
      <c r="GV35" s="36">
        <f t="shared" si="118"/>
        <v>0</v>
      </c>
      <c r="GW35" s="36">
        <f t="shared" si="119"/>
        <v>0</v>
      </c>
      <c r="GX35" s="36">
        <f t="shared" si="120"/>
        <v>0</v>
      </c>
      <c r="GY35" s="149">
        <f t="shared" si="121"/>
        <v>0</v>
      </c>
      <c r="HD35" s="36">
        <f t="shared" si="131"/>
        <v>29</v>
      </c>
      <c r="HE35" s="36">
        <f t="shared" si="122"/>
        <v>0</v>
      </c>
      <c r="HF35" s="36">
        <f t="shared" si="123"/>
        <v>0</v>
      </c>
      <c r="HG35" s="36">
        <f t="shared" si="124"/>
        <v>0</v>
      </c>
      <c r="HJ35" s="36">
        <f>HJ33+1</f>
        <v>15</v>
      </c>
      <c r="HK35" s="152" t="str">
        <f>IF(HE21=0,"",HE21)</f>
        <v/>
      </c>
      <c r="HL35" s="36" t="str">
        <f>IF(HF21=0,"",HF21)</f>
        <v/>
      </c>
      <c r="HM35" s="153" t="str">
        <f>IF(HG21=0,"",HG21)</f>
        <v/>
      </c>
      <c r="HQ35" s="159" t="str">
        <f t="shared" si="125"/>
        <v/>
      </c>
      <c r="HR35" s="160" t="str">
        <f t="shared" si="126"/>
        <v/>
      </c>
      <c r="HU35" s="36">
        <v>13</v>
      </c>
      <c r="HV35" s="36">
        <f t="shared" si="132"/>
        <v>29</v>
      </c>
      <c r="HW35" s="138">
        <v>29</v>
      </c>
      <c r="HX35" s="36">
        <v>27</v>
      </c>
      <c r="HY35" s="36">
        <v>26</v>
      </c>
      <c r="HZ35" s="36">
        <v>28</v>
      </c>
      <c r="IA35" s="36">
        <v>27</v>
      </c>
      <c r="IB35" s="36">
        <v>25</v>
      </c>
      <c r="IC35" s="36">
        <v>24</v>
      </c>
      <c r="ID35" s="36">
        <v>0</v>
      </c>
      <c r="IE35" s="36">
        <v>0</v>
      </c>
      <c r="IF35" s="36">
        <v>0</v>
      </c>
      <c r="IG35" s="36">
        <v>0</v>
      </c>
      <c r="IH35" s="36">
        <v>0</v>
      </c>
      <c r="II35" s="36">
        <v>0</v>
      </c>
      <c r="IJ35" s="36">
        <v>0</v>
      </c>
      <c r="IK35" s="36">
        <v>0</v>
      </c>
      <c r="IL35" s="36">
        <v>0</v>
      </c>
      <c r="IM35" s="36">
        <v>0</v>
      </c>
      <c r="IN35" s="36">
        <v>0</v>
      </c>
      <c r="IO35" s="36">
        <v>0</v>
      </c>
      <c r="IP35" s="36">
        <v>0</v>
      </c>
      <c r="IQ35" s="36">
        <v>0</v>
      </c>
      <c r="IR35" s="36">
        <v>0</v>
      </c>
      <c r="IS35" s="36">
        <v>0</v>
      </c>
      <c r="IT35" s="36">
        <v>0</v>
      </c>
      <c r="IU35" s="36">
        <v>0</v>
      </c>
      <c r="IV35" s="36">
        <v>0</v>
      </c>
      <c r="IW35" s="149">
        <v>0</v>
      </c>
      <c r="IY35" s="36">
        <f t="shared" si="127"/>
        <v>0</v>
      </c>
    </row>
    <row r="36" spans="1:259" ht="15.9" hidden="1" customHeight="1" x14ac:dyDescent="0.3">
      <c r="A36" s="104">
        <f t="shared" si="137"/>
        <v>30</v>
      </c>
      <c r="B36" s="91" t="s">
        <v>9</v>
      </c>
      <c r="C36" s="90">
        <v>66</v>
      </c>
      <c r="D36" s="96"/>
      <c r="E36" s="10"/>
      <c r="F36" s="9"/>
      <c r="G36" s="39"/>
      <c r="H36" s="118"/>
      <c r="I36" s="91"/>
      <c r="T36" s="53" t="str">
        <f>[1]List1!$A$186</f>
        <v>OK</v>
      </c>
      <c r="AE36" s="36">
        <f t="shared" si="19"/>
        <v>0</v>
      </c>
      <c r="AF36" s="36">
        <f t="shared" si="142"/>
        <v>30</v>
      </c>
      <c r="AH36" s="36">
        <v>14</v>
      </c>
      <c r="AI36" s="138">
        <f t="shared" si="21"/>
        <v>30</v>
      </c>
      <c r="AJ36" s="36">
        <f>AF35</f>
        <v>29</v>
      </c>
      <c r="AK36" s="149">
        <f>AI38</f>
        <v>32</v>
      </c>
      <c r="AL36" s="36">
        <f t="shared" si="143"/>
        <v>30</v>
      </c>
      <c r="AM36" s="36">
        <f>AL35</f>
        <v>29</v>
      </c>
      <c r="AN36" s="149" t="str">
        <f>AM37</f>
        <v>VL</v>
      </c>
      <c r="AO36" s="138">
        <f t="shared" si="144"/>
        <v>29</v>
      </c>
      <c r="AP36" s="36">
        <f>AO35</f>
        <v>28</v>
      </c>
      <c r="AQ36" s="149" t="str">
        <f>AP37</f>
        <v>VL</v>
      </c>
      <c r="AR36" s="36">
        <f t="shared" si="145"/>
        <v>29</v>
      </c>
      <c r="AS36" s="36">
        <f>AR35</f>
        <v>28</v>
      </c>
      <c r="AT36" s="149">
        <v>27</v>
      </c>
      <c r="AU36" s="138">
        <f t="shared" si="146"/>
        <v>28</v>
      </c>
      <c r="AV36" s="36">
        <f>AU35</f>
        <v>27</v>
      </c>
      <c r="AW36" s="149">
        <v>26</v>
      </c>
      <c r="BA36" s="138"/>
      <c r="BC36" s="149"/>
      <c r="BG36" s="138"/>
      <c r="BH36" s="36"/>
      <c r="BI36" s="149"/>
      <c r="BJ36" s="138"/>
      <c r="BK36" s="36"/>
      <c r="BL36" s="36"/>
      <c r="BM36" s="138"/>
      <c r="BN36" s="36"/>
      <c r="BO36" s="149"/>
      <c r="BS36" s="138"/>
      <c r="BU36" s="149"/>
      <c r="BY36" s="138"/>
      <c r="CA36" s="149"/>
      <c r="CE36" s="138"/>
      <c r="CG36" s="149"/>
      <c r="CK36" s="138"/>
      <c r="CM36" s="149"/>
      <c r="CQ36" s="138"/>
      <c r="CS36" s="149"/>
      <c r="CW36" s="138"/>
      <c r="CY36" s="149"/>
      <c r="DC36" s="138"/>
      <c r="DE36" s="149"/>
      <c r="DI36" s="138"/>
      <c r="DK36" s="149"/>
      <c r="DN36" s="36">
        <f t="shared" si="128"/>
        <v>30</v>
      </c>
      <c r="DO36" s="138">
        <f t="shared" si="41"/>
        <v>30</v>
      </c>
      <c r="DP36" s="36">
        <f t="shared" si="42"/>
        <v>30</v>
      </c>
      <c r="DQ36" s="36">
        <f t="shared" si="43"/>
        <v>29</v>
      </c>
      <c r="DR36" s="36">
        <f t="shared" si="44"/>
        <v>29</v>
      </c>
      <c r="DS36" s="36">
        <f t="shared" si="45"/>
        <v>28</v>
      </c>
      <c r="DT36" s="36">
        <f t="shared" si="46"/>
        <v>0</v>
      </c>
      <c r="DU36" s="36">
        <f t="shared" si="47"/>
        <v>0</v>
      </c>
      <c r="DV36" s="36">
        <f t="shared" si="48"/>
        <v>0</v>
      </c>
      <c r="DW36" s="36">
        <f t="shared" si="49"/>
        <v>0</v>
      </c>
      <c r="DX36" s="36">
        <f t="shared" si="50"/>
        <v>0</v>
      </c>
      <c r="DY36" s="36">
        <f t="shared" si="51"/>
        <v>0</v>
      </c>
      <c r="DZ36" s="36">
        <f t="shared" si="52"/>
        <v>0</v>
      </c>
      <c r="EA36" s="36">
        <f t="shared" si="53"/>
        <v>0</v>
      </c>
      <c r="EB36" s="36">
        <f t="shared" si="54"/>
        <v>0</v>
      </c>
      <c r="EC36" s="36">
        <f t="shared" si="55"/>
        <v>0</v>
      </c>
      <c r="ED36" s="36">
        <f t="shared" si="56"/>
        <v>0</v>
      </c>
      <c r="EE36" s="36">
        <f t="shared" si="57"/>
        <v>0</v>
      </c>
      <c r="EF36" s="36">
        <f t="shared" si="58"/>
        <v>0</v>
      </c>
      <c r="EG36" s="36">
        <f t="shared" si="59"/>
        <v>0</v>
      </c>
      <c r="EH36" s="36">
        <f t="shared" si="60"/>
        <v>0</v>
      </c>
      <c r="EI36" s="36">
        <f t="shared" si="61"/>
        <v>0</v>
      </c>
      <c r="EJ36" s="36">
        <f t="shared" si="62"/>
        <v>0</v>
      </c>
      <c r="EK36" s="36">
        <f t="shared" si="63"/>
        <v>0</v>
      </c>
      <c r="EL36" s="36">
        <f t="shared" si="64"/>
        <v>0</v>
      </c>
      <c r="EM36" s="36">
        <f t="shared" si="65"/>
        <v>0</v>
      </c>
      <c r="EN36" s="36">
        <f t="shared" si="66"/>
        <v>0</v>
      </c>
      <c r="EO36" s="149">
        <f t="shared" si="67"/>
        <v>0</v>
      </c>
      <c r="ES36" s="36">
        <f t="shared" si="129"/>
        <v>30</v>
      </c>
      <c r="ET36" s="138">
        <f t="shared" si="68"/>
        <v>29</v>
      </c>
      <c r="EU36" s="36">
        <f t="shared" si="69"/>
        <v>29</v>
      </c>
      <c r="EV36" s="36">
        <f t="shared" si="70"/>
        <v>28</v>
      </c>
      <c r="EW36" s="36">
        <f t="shared" si="71"/>
        <v>28</v>
      </c>
      <c r="EX36" s="36">
        <f t="shared" si="72"/>
        <v>27</v>
      </c>
      <c r="EY36" s="36">
        <f t="shared" si="73"/>
        <v>0</v>
      </c>
      <c r="EZ36" s="36">
        <f t="shared" si="74"/>
        <v>0</v>
      </c>
      <c r="FA36" s="36">
        <f t="shared" si="75"/>
        <v>0</v>
      </c>
      <c r="FB36" s="36">
        <f t="shared" si="76"/>
        <v>0</v>
      </c>
      <c r="FC36" s="36">
        <f t="shared" si="77"/>
        <v>0</v>
      </c>
      <c r="FD36" s="36">
        <f t="shared" si="78"/>
        <v>0</v>
      </c>
      <c r="FE36" s="36">
        <f t="shared" si="79"/>
        <v>0</v>
      </c>
      <c r="FF36" s="36">
        <f t="shared" si="80"/>
        <v>0</v>
      </c>
      <c r="FG36" s="36">
        <f t="shared" si="81"/>
        <v>0</v>
      </c>
      <c r="FH36" s="36">
        <f t="shared" si="82"/>
        <v>0</v>
      </c>
      <c r="FI36" s="36">
        <f t="shared" si="83"/>
        <v>0</v>
      </c>
      <c r="FJ36" s="36">
        <f t="shared" si="84"/>
        <v>0</v>
      </c>
      <c r="FK36" s="36">
        <f t="shared" si="85"/>
        <v>0</v>
      </c>
      <c r="FL36" s="36">
        <f t="shared" si="86"/>
        <v>0</v>
      </c>
      <c r="FM36" s="36">
        <f t="shared" si="87"/>
        <v>0</v>
      </c>
      <c r="FN36" s="36">
        <f t="shared" si="88"/>
        <v>0</v>
      </c>
      <c r="FO36" s="36">
        <f t="shared" si="89"/>
        <v>0</v>
      </c>
      <c r="FP36" s="36">
        <f t="shared" si="90"/>
        <v>0</v>
      </c>
      <c r="FQ36" s="36">
        <f t="shared" si="91"/>
        <v>0</v>
      </c>
      <c r="FR36" s="36">
        <f t="shared" si="92"/>
        <v>0</v>
      </c>
      <c r="FS36" s="36">
        <f t="shared" si="93"/>
        <v>0</v>
      </c>
      <c r="FT36" s="149">
        <f t="shared" si="94"/>
        <v>0</v>
      </c>
      <c r="FX36" s="36">
        <f t="shared" si="130"/>
        <v>30</v>
      </c>
      <c r="FY36" s="138">
        <f t="shared" si="95"/>
        <v>32</v>
      </c>
      <c r="FZ36" s="36" t="str">
        <f t="shared" si="96"/>
        <v>VL</v>
      </c>
      <c r="GA36" s="36" t="str">
        <f t="shared" si="97"/>
        <v>VL</v>
      </c>
      <c r="GB36" s="36">
        <f t="shared" si="98"/>
        <v>27</v>
      </c>
      <c r="GC36" s="36">
        <f t="shared" si="99"/>
        <v>26</v>
      </c>
      <c r="GD36" s="36">
        <f t="shared" si="100"/>
        <v>0</v>
      </c>
      <c r="GE36" s="36">
        <f t="shared" si="101"/>
        <v>0</v>
      </c>
      <c r="GF36" s="36">
        <f t="shared" si="102"/>
        <v>0</v>
      </c>
      <c r="GG36" s="36">
        <f t="shared" si="103"/>
        <v>0</v>
      </c>
      <c r="GH36" s="36">
        <f t="shared" si="104"/>
        <v>0</v>
      </c>
      <c r="GI36" s="36">
        <f t="shared" si="105"/>
        <v>0</v>
      </c>
      <c r="GJ36" s="36">
        <f t="shared" si="106"/>
        <v>0</v>
      </c>
      <c r="GK36" s="36">
        <f t="shared" si="107"/>
        <v>0</v>
      </c>
      <c r="GL36" s="36">
        <f t="shared" si="108"/>
        <v>0</v>
      </c>
      <c r="GM36" s="36">
        <f t="shared" si="109"/>
        <v>0</v>
      </c>
      <c r="GN36" s="36">
        <f t="shared" si="110"/>
        <v>0</v>
      </c>
      <c r="GO36" s="36">
        <f t="shared" si="111"/>
        <v>0</v>
      </c>
      <c r="GP36" s="36">
        <f t="shared" si="112"/>
        <v>0</v>
      </c>
      <c r="GQ36" s="36">
        <f t="shared" si="113"/>
        <v>0</v>
      </c>
      <c r="GR36" s="36">
        <f t="shared" si="114"/>
        <v>0</v>
      </c>
      <c r="GS36" s="36">
        <f t="shared" si="115"/>
        <v>0</v>
      </c>
      <c r="GT36" s="36">
        <f t="shared" si="116"/>
        <v>0</v>
      </c>
      <c r="GU36" s="36">
        <f t="shared" si="117"/>
        <v>0</v>
      </c>
      <c r="GV36" s="36">
        <f t="shared" si="118"/>
        <v>0</v>
      </c>
      <c r="GW36" s="36">
        <f t="shared" si="119"/>
        <v>0</v>
      </c>
      <c r="GX36" s="36">
        <f t="shared" si="120"/>
        <v>0</v>
      </c>
      <c r="GY36" s="149">
        <f t="shared" si="121"/>
        <v>0</v>
      </c>
      <c r="HD36" s="36">
        <f t="shared" si="131"/>
        <v>30</v>
      </c>
      <c r="HE36" s="36">
        <f t="shared" si="122"/>
        <v>0</v>
      </c>
      <c r="HF36" s="36">
        <f t="shared" si="123"/>
        <v>0</v>
      </c>
      <c r="HG36" s="36">
        <f t="shared" si="124"/>
        <v>0</v>
      </c>
      <c r="HK36" s="152"/>
      <c r="HM36" s="153"/>
      <c r="HQ36" s="159" t="str">
        <f t="shared" si="125"/>
        <v/>
      </c>
      <c r="HR36" s="160" t="str">
        <f t="shared" si="126"/>
        <v/>
      </c>
      <c r="HU36" s="36">
        <v>14</v>
      </c>
      <c r="HV36" s="36">
        <f t="shared" si="132"/>
        <v>30</v>
      </c>
      <c r="HW36" s="138">
        <v>30</v>
      </c>
      <c r="HX36" s="36">
        <v>28</v>
      </c>
      <c r="HY36" s="36">
        <v>27</v>
      </c>
      <c r="HZ36" s="36">
        <v>29</v>
      </c>
      <c r="IA36" s="36">
        <v>28</v>
      </c>
      <c r="IB36" s="36">
        <v>0</v>
      </c>
      <c r="IC36" s="36">
        <v>0</v>
      </c>
      <c r="ID36" s="36">
        <v>0</v>
      </c>
      <c r="IE36" s="36">
        <v>0</v>
      </c>
      <c r="IF36" s="36">
        <v>0</v>
      </c>
      <c r="IG36" s="36">
        <v>0</v>
      </c>
      <c r="IH36" s="36">
        <v>0</v>
      </c>
      <c r="II36" s="36">
        <v>0</v>
      </c>
      <c r="IJ36" s="36">
        <v>0</v>
      </c>
      <c r="IK36" s="36">
        <v>0</v>
      </c>
      <c r="IL36" s="36">
        <v>0</v>
      </c>
      <c r="IM36" s="36">
        <v>0</v>
      </c>
      <c r="IN36" s="36">
        <v>0</v>
      </c>
      <c r="IO36" s="36">
        <v>0</v>
      </c>
      <c r="IP36" s="36">
        <v>0</v>
      </c>
      <c r="IQ36" s="36">
        <v>0</v>
      </c>
      <c r="IR36" s="36">
        <v>0</v>
      </c>
      <c r="IS36" s="36">
        <v>0</v>
      </c>
      <c r="IT36" s="36">
        <v>0</v>
      </c>
      <c r="IU36" s="36">
        <v>0</v>
      </c>
      <c r="IV36" s="36">
        <v>0</v>
      </c>
      <c r="IW36" s="149">
        <v>0</v>
      </c>
      <c r="IY36" s="36">
        <f t="shared" si="127"/>
        <v>0</v>
      </c>
    </row>
    <row r="37" spans="1:259" ht="15.9" hidden="1" customHeight="1" x14ac:dyDescent="0.3">
      <c r="A37" s="104">
        <f t="shared" si="137"/>
        <v>31</v>
      </c>
      <c r="B37" s="91" t="s">
        <v>9</v>
      </c>
      <c r="C37" s="91">
        <v>66</v>
      </c>
      <c r="D37" s="96"/>
      <c r="E37" s="10"/>
      <c r="F37" s="9"/>
      <c r="G37" s="39"/>
      <c r="H37" s="118"/>
      <c r="I37" s="91"/>
      <c r="T37" s="53" t="str">
        <f>[1]List1!$A$190</f>
        <v>zadej styl</v>
      </c>
      <c r="AE37" s="36">
        <f t="shared" si="19"/>
        <v>0</v>
      </c>
      <c r="AF37" s="36">
        <f t="shared" si="142"/>
        <v>31</v>
      </c>
      <c r="AH37" s="36">
        <v>15</v>
      </c>
      <c r="AI37" s="138">
        <f t="shared" si="21"/>
        <v>31</v>
      </c>
      <c r="AJ37" s="36">
        <f>AF38</f>
        <v>32</v>
      </c>
      <c r="AK37" s="149">
        <f>AI35</f>
        <v>29</v>
      </c>
      <c r="AL37" s="36">
        <f t="shared" si="143"/>
        <v>31</v>
      </c>
      <c r="AM37" s="36" t="str">
        <f>$AE$1</f>
        <v>VL</v>
      </c>
      <c r="AN37" s="149">
        <f>AL23</f>
        <v>17</v>
      </c>
      <c r="AO37" s="138">
        <f t="shared" si="144"/>
        <v>30</v>
      </c>
      <c r="AP37" s="36" t="str">
        <f>$AE$1</f>
        <v>VL</v>
      </c>
      <c r="AQ37" s="149">
        <f>AO23</f>
        <v>16</v>
      </c>
      <c r="AU37" s="138"/>
      <c r="AW37" s="149"/>
      <c r="BA37" s="138"/>
      <c r="BC37" s="149"/>
      <c r="BG37" s="138"/>
      <c r="BH37" s="36"/>
      <c r="BI37" s="149"/>
      <c r="BJ37" s="36"/>
      <c r="BK37" s="36"/>
      <c r="BL37" s="36"/>
      <c r="BM37" s="138"/>
      <c r="BN37" s="36"/>
      <c r="BO37" s="149"/>
      <c r="BS37" s="138"/>
      <c r="BU37" s="149"/>
      <c r="BY37" s="138"/>
      <c r="CA37" s="149"/>
      <c r="CE37" s="138"/>
      <c r="CG37" s="149"/>
      <c r="CK37" s="138"/>
      <c r="CM37" s="149"/>
      <c r="CQ37" s="138"/>
      <c r="CS37" s="149"/>
      <c r="CW37" s="138"/>
      <c r="CY37" s="149"/>
      <c r="DC37" s="138"/>
      <c r="DE37" s="149"/>
      <c r="DI37" s="138"/>
      <c r="DK37" s="149"/>
      <c r="DN37" s="36">
        <f t="shared" si="128"/>
        <v>31</v>
      </c>
      <c r="DO37" s="138">
        <f t="shared" si="41"/>
        <v>31</v>
      </c>
      <c r="DP37" s="36">
        <f t="shared" si="42"/>
        <v>31</v>
      </c>
      <c r="DQ37" s="36">
        <f t="shared" si="43"/>
        <v>30</v>
      </c>
      <c r="DR37" s="36">
        <f t="shared" si="44"/>
        <v>0</v>
      </c>
      <c r="DS37" s="36">
        <f t="shared" si="45"/>
        <v>0</v>
      </c>
      <c r="DT37" s="36">
        <f t="shared" si="46"/>
        <v>0</v>
      </c>
      <c r="DU37" s="36">
        <f t="shared" si="47"/>
        <v>0</v>
      </c>
      <c r="DV37" s="36">
        <f t="shared" si="48"/>
        <v>0</v>
      </c>
      <c r="DW37" s="36">
        <f t="shared" si="49"/>
        <v>0</v>
      </c>
      <c r="DX37" s="36">
        <f t="shared" si="50"/>
        <v>0</v>
      </c>
      <c r="DY37" s="36">
        <f t="shared" si="51"/>
        <v>0</v>
      </c>
      <c r="DZ37" s="36">
        <f t="shared" si="52"/>
        <v>0</v>
      </c>
      <c r="EA37" s="36">
        <f t="shared" si="53"/>
        <v>0</v>
      </c>
      <c r="EB37" s="36">
        <f t="shared" si="54"/>
        <v>0</v>
      </c>
      <c r="EC37" s="36">
        <f t="shared" si="55"/>
        <v>0</v>
      </c>
      <c r="ED37" s="36">
        <f t="shared" si="56"/>
        <v>0</v>
      </c>
      <c r="EE37" s="36">
        <f t="shared" si="57"/>
        <v>0</v>
      </c>
      <c r="EF37" s="36">
        <f t="shared" si="58"/>
        <v>0</v>
      </c>
      <c r="EG37" s="36">
        <f t="shared" si="59"/>
        <v>0</v>
      </c>
      <c r="EH37" s="36">
        <f t="shared" si="60"/>
        <v>0</v>
      </c>
      <c r="EI37" s="36">
        <f t="shared" si="61"/>
        <v>0</v>
      </c>
      <c r="EJ37" s="36">
        <f t="shared" si="62"/>
        <v>0</v>
      </c>
      <c r="EK37" s="36">
        <f t="shared" si="63"/>
        <v>0</v>
      </c>
      <c r="EL37" s="36">
        <f t="shared" si="64"/>
        <v>0</v>
      </c>
      <c r="EM37" s="36">
        <f t="shared" si="65"/>
        <v>0</v>
      </c>
      <c r="EN37" s="36">
        <f t="shared" si="66"/>
        <v>0</v>
      </c>
      <c r="EO37" s="149">
        <f t="shared" si="67"/>
        <v>0</v>
      </c>
      <c r="ES37" s="36">
        <f t="shared" si="129"/>
        <v>31</v>
      </c>
      <c r="ET37" s="138">
        <f t="shared" si="68"/>
        <v>32</v>
      </c>
      <c r="EU37" s="36" t="str">
        <f t="shared" si="69"/>
        <v>VL</v>
      </c>
      <c r="EV37" s="36" t="str">
        <f t="shared" si="70"/>
        <v>VL</v>
      </c>
      <c r="EW37" s="36">
        <f t="shared" si="71"/>
        <v>0</v>
      </c>
      <c r="EX37" s="36">
        <f t="shared" si="72"/>
        <v>0</v>
      </c>
      <c r="EY37" s="36">
        <f t="shared" si="73"/>
        <v>0</v>
      </c>
      <c r="EZ37" s="36">
        <f t="shared" si="74"/>
        <v>0</v>
      </c>
      <c r="FA37" s="36">
        <f t="shared" si="75"/>
        <v>0</v>
      </c>
      <c r="FB37" s="36">
        <f t="shared" si="76"/>
        <v>0</v>
      </c>
      <c r="FC37" s="36">
        <f t="shared" si="77"/>
        <v>0</v>
      </c>
      <c r="FD37" s="36">
        <f t="shared" si="78"/>
        <v>0</v>
      </c>
      <c r="FE37" s="36">
        <f t="shared" si="79"/>
        <v>0</v>
      </c>
      <c r="FF37" s="36">
        <f t="shared" si="80"/>
        <v>0</v>
      </c>
      <c r="FG37" s="36">
        <f t="shared" si="81"/>
        <v>0</v>
      </c>
      <c r="FH37" s="36">
        <f t="shared" si="82"/>
        <v>0</v>
      </c>
      <c r="FI37" s="36">
        <f t="shared" si="83"/>
        <v>0</v>
      </c>
      <c r="FJ37" s="36">
        <f t="shared" si="84"/>
        <v>0</v>
      </c>
      <c r="FK37" s="36">
        <f t="shared" si="85"/>
        <v>0</v>
      </c>
      <c r="FL37" s="36">
        <f t="shared" si="86"/>
        <v>0</v>
      </c>
      <c r="FM37" s="36">
        <f t="shared" si="87"/>
        <v>0</v>
      </c>
      <c r="FN37" s="36">
        <f t="shared" si="88"/>
        <v>0</v>
      </c>
      <c r="FO37" s="36">
        <f t="shared" si="89"/>
        <v>0</v>
      </c>
      <c r="FP37" s="36">
        <f t="shared" si="90"/>
        <v>0</v>
      </c>
      <c r="FQ37" s="36">
        <f t="shared" si="91"/>
        <v>0</v>
      </c>
      <c r="FR37" s="36">
        <f t="shared" si="92"/>
        <v>0</v>
      </c>
      <c r="FS37" s="36">
        <f t="shared" si="93"/>
        <v>0</v>
      </c>
      <c r="FT37" s="149">
        <f t="shared" si="94"/>
        <v>0</v>
      </c>
      <c r="FX37" s="36">
        <f t="shared" si="130"/>
        <v>31</v>
      </c>
      <c r="FY37" s="138">
        <f t="shared" si="95"/>
        <v>29</v>
      </c>
      <c r="FZ37" s="36">
        <f t="shared" si="96"/>
        <v>17</v>
      </c>
      <c r="GA37" s="36">
        <f t="shared" si="97"/>
        <v>16</v>
      </c>
      <c r="GB37" s="36">
        <f t="shared" si="98"/>
        <v>0</v>
      </c>
      <c r="GC37" s="36">
        <f t="shared" si="99"/>
        <v>0</v>
      </c>
      <c r="GD37" s="36">
        <f t="shared" si="100"/>
        <v>0</v>
      </c>
      <c r="GE37" s="36">
        <f t="shared" si="101"/>
        <v>0</v>
      </c>
      <c r="GF37" s="36">
        <f t="shared" si="102"/>
        <v>0</v>
      </c>
      <c r="GG37" s="36">
        <f t="shared" si="103"/>
        <v>0</v>
      </c>
      <c r="GH37" s="36">
        <f t="shared" si="104"/>
        <v>0</v>
      </c>
      <c r="GI37" s="36">
        <f t="shared" si="105"/>
        <v>0</v>
      </c>
      <c r="GJ37" s="36">
        <f t="shared" si="106"/>
        <v>0</v>
      </c>
      <c r="GK37" s="36">
        <f t="shared" si="107"/>
        <v>0</v>
      </c>
      <c r="GL37" s="36">
        <f t="shared" si="108"/>
        <v>0</v>
      </c>
      <c r="GM37" s="36">
        <f t="shared" si="109"/>
        <v>0</v>
      </c>
      <c r="GN37" s="36">
        <f t="shared" si="110"/>
        <v>0</v>
      </c>
      <c r="GO37" s="36">
        <f t="shared" si="111"/>
        <v>0</v>
      </c>
      <c r="GP37" s="36">
        <f t="shared" si="112"/>
        <v>0</v>
      </c>
      <c r="GQ37" s="36">
        <f t="shared" si="113"/>
        <v>0</v>
      </c>
      <c r="GR37" s="36">
        <f t="shared" si="114"/>
        <v>0</v>
      </c>
      <c r="GS37" s="36">
        <f t="shared" si="115"/>
        <v>0</v>
      </c>
      <c r="GT37" s="36">
        <f t="shared" si="116"/>
        <v>0</v>
      </c>
      <c r="GU37" s="36">
        <f t="shared" si="117"/>
        <v>0</v>
      </c>
      <c r="GV37" s="36">
        <f t="shared" si="118"/>
        <v>0</v>
      </c>
      <c r="GW37" s="36">
        <f t="shared" si="119"/>
        <v>0</v>
      </c>
      <c r="GX37" s="36">
        <f t="shared" si="120"/>
        <v>0</v>
      </c>
      <c r="GY37" s="149">
        <f t="shared" si="121"/>
        <v>0</v>
      </c>
      <c r="HD37" s="36">
        <f t="shared" si="131"/>
        <v>31</v>
      </c>
      <c r="HE37" s="36">
        <f t="shared" si="122"/>
        <v>0</v>
      </c>
      <c r="HF37" s="36">
        <f t="shared" si="123"/>
        <v>0</v>
      </c>
      <c r="HG37" s="36">
        <f t="shared" si="124"/>
        <v>0</v>
      </c>
      <c r="HJ37" s="36">
        <f>HJ35+1</f>
        <v>16</v>
      </c>
      <c r="HK37" s="152" t="str">
        <f>IF(HE22=0,"",HE22)</f>
        <v/>
      </c>
      <c r="HL37" s="36" t="str">
        <f>IF(HF22=0,"",HF22)</f>
        <v/>
      </c>
      <c r="HM37" s="153" t="str">
        <f>IF(HG22=0,"",HG22)</f>
        <v/>
      </c>
      <c r="HQ37" s="159" t="str">
        <f t="shared" si="125"/>
        <v/>
      </c>
      <c r="HR37" s="160" t="str">
        <f t="shared" si="126"/>
        <v/>
      </c>
      <c r="HU37" s="36">
        <v>15</v>
      </c>
      <c r="HV37" s="36">
        <f t="shared" si="132"/>
        <v>31</v>
      </c>
      <c r="HW37" s="138">
        <v>31</v>
      </c>
      <c r="HX37" s="36">
        <v>29</v>
      </c>
      <c r="HY37" s="36">
        <v>28</v>
      </c>
      <c r="HZ37" s="36">
        <v>0</v>
      </c>
      <c r="IA37" s="36">
        <v>0</v>
      </c>
      <c r="IB37" s="36">
        <v>0</v>
      </c>
      <c r="IC37" s="36">
        <v>0</v>
      </c>
      <c r="ID37" s="36">
        <v>0</v>
      </c>
      <c r="IE37" s="36">
        <v>0</v>
      </c>
      <c r="IF37" s="36">
        <v>0</v>
      </c>
      <c r="IG37" s="36">
        <v>0</v>
      </c>
      <c r="IH37" s="36">
        <v>0</v>
      </c>
      <c r="II37" s="36">
        <v>0</v>
      </c>
      <c r="IJ37" s="36">
        <v>0</v>
      </c>
      <c r="IK37" s="36">
        <v>0</v>
      </c>
      <c r="IL37" s="36">
        <v>0</v>
      </c>
      <c r="IM37" s="36">
        <v>0</v>
      </c>
      <c r="IN37" s="36">
        <v>0</v>
      </c>
      <c r="IO37" s="36">
        <v>0</v>
      </c>
      <c r="IP37" s="36">
        <v>0</v>
      </c>
      <c r="IQ37" s="36">
        <v>0</v>
      </c>
      <c r="IR37" s="36">
        <v>0</v>
      </c>
      <c r="IS37" s="36">
        <v>0</v>
      </c>
      <c r="IT37" s="36">
        <v>0</v>
      </c>
      <c r="IU37" s="36">
        <v>0</v>
      </c>
      <c r="IV37" s="36">
        <v>0</v>
      </c>
      <c r="IW37" s="149">
        <v>0</v>
      </c>
      <c r="IY37" s="36">
        <f t="shared" si="127"/>
        <v>0</v>
      </c>
    </row>
    <row r="38" spans="1:259" ht="15.9" hidden="1" customHeight="1" thickBot="1" x14ac:dyDescent="0.35">
      <c r="A38" s="104">
        <f t="shared" si="137"/>
        <v>32</v>
      </c>
      <c r="B38" s="108" t="s">
        <v>9</v>
      </c>
      <c r="C38" s="109">
        <v>66</v>
      </c>
      <c r="D38" s="96"/>
      <c r="E38" s="10"/>
      <c r="F38" s="9"/>
      <c r="G38" s="40"/>
      <c r="H38" s="120"/>
      <c r="I38" s="110"/>
      <c r="AE38" s="36">
        <f t="shared" si="19"/>
        <v>0</v>
      </c>
      <c r="AF38" s="36">
        <f t="shared" si="142"/>
        <v>32</v>
      </c>
      <c r="AH38" s="36">
        <v>16</v>
      </c>
      <c r="AI38" s="138">
        <f t="shared" si="21"/>
        <v>32</v>
      </c>
      <c r="AJ38" s="36">
        <f>AF37</f>
        <v>31</v>
      </c>
      <c r="AK38" s="149">
        <f>AI36</f>
        <v>30</v>
      </c>
      <c r="AO38" s="138"/>
      <c r="AQ38" s="149"/>
      <c r="AU38" s="138"/>
      <c r="AW38" s="149"/>
      <c r="BA38" s="138"/>
      <c r="BC38" s="149"/>
      <c r="BG38" s="138"/>
      <c r="BH38" s="36"/>
      <c r="BI38" s="149"/>
      <c r="BJ38" s="36"/>
      <c r="BK38" s="36"/>
      <c r="BL38" s="36"/>
      <c r="BM38" s="138"/>
      <c r="BN38" s="36"/>
      <c r="BO38" s="149"/>
      <c r="BS38" s="138"/>
      <c r="BU38" s="149"/>
      <c r="BY38" s="138"/>
      <c r="CA38" s="149"/>
      <c r="CE38" s="138"/>
      <c r="CG38" s="149"/>
      <c r="CK38" s="138"/>
      <c r="CM38" s="149"/>
      <c r="CQ38" s="138"/>
      <c r="CS38" s="149"/>
      <c r="CW38" s="138"/>
      <c r="CY38" s="149"/>
      <c r="DC38" s="138"/>
      <c r="DE38" s="149"/>
      <c r="DI38" s="138"/>
      <c r="DK38" s="149"/>
      <c r="DN38" s="36">
        <f t="shared" si="128"/>
        <v>32</v>
      </c>
      <c r="DO38" s="142">
        <f t="shared" si="41"/>
        <v>32</v>
      </c>
      <c r="DP38" s="83">
        <f t="shared" si="42"/>
        <v>0</v>
      </c>
      <c r="DQ38" s="83">
        <f t="shared" si="43"/>
        <v>0</v>
      </c>
      <c r="DR38" s="83">
        <f t="shared" si="44"/>
        <v>0</v>
      </c>
      <c r="DS38" s="83">
        <f t="shared" si="45"/>
        <v>0</v>
      </c>
      <c r="DT38" s="83">
        <f t="shared" si="46"/>
        <v>0</v>
      </c>
      <c r="DU38" s="83">
        <f t="shared" si="47"/>
        <v>0</v>
      </c>
      <c r="DV38" s="83">
        <f t="shared" si="48"/>
        <v>0</v>
      </c>
      <c r="DW38" s="83">
        <f t="shared" si="49"/>
        <v>0</v>
      </c>
      <c r="DX38" s="83">
        <f t="shared" si="50"/>
        <v>0</v>
      </c>
      <c r="DY38" s="83">
        <f t="shared" si="51"/>
        <v>0</v>
      </c>
      <c r="DZ38" s="83">
        <f t="shared" si="52"/>
        <v>0</v>
      </c>
      <c r="EA38" s="83">
        <f t="shared" si="53"/>
        <v>0</v>
      </c>
      <c r="EB38" s="83">
        <f t="shared" si="54"/>
        <v>0</v>
      </c>
      <c r="EC38" s="83">
        <f t="shared" si="55"/>
        <v>0</v>
      </c>
      <c r="ED38" s="83">
        <f t="shared" si="56"/>
        <v>0</v>
      </c>
      <c r="EE38" s="83">
        <f t="shared" si="57"/>
        <v>0</v>
      </c>
      <c r="EF38" s="83">
        <f t="shared" si="58"/>
        <v>0</v>
      </c>
      <c r="EG38" s="83">
        <f t="shared" si="59"/>
        <v>0</v>
      </c>
      <c r="EH38" s="83">
        <f t="shared" si="60"/>
        <v>0</v>
      </c>
      <c r="EI38" s="83">
        <f t="shared" si="61"/>
        <v>0</v>
      </c>
      <c r="EJ38" s="83">
        <f t="shared" si="62"/>
        <v>0</v>
      </c>
      <c r="EK38" s="83">
        <f t="shared" si="63"/>
        <v>0</v>
      </c>
      <c r="EL38" s="83">
        <f t="shared" si="64"/>
        <v>0</v>
      </c>
      <c r="EM38" s="83">
        <f t="shared" si="65"/>
        <v>0</v>
      </c>
      <c r="EN38" s="83">
        <f t="shared" si="66"/>
        <v>0</v>
      </c>
      <c r="EO38" s="143">
        <f t="shared" si="67"/>
        <v>0</v>
      </c>
      <c r="ES38" s="36">
        <f t="shared" si="129"/>
        <v>32</v>
      </c>
      <c r="ET38" s="142">
        <f>AJ38</f>
        <v>31</v>
      </c>
      <c r="EU38" s="83">
        <f>AM38</f>
        <v>0</v>
      </c>
      <c r="EV38" s="83">
        <f>AP38</f>
        <v>0</v>
      </c>
      <c r="EW38" s="83">
        <f>AS38</f>
        <v>0</v>
      </c>
      <c r="EX38" s="83">
        <f>AV38</f>
        <v>0</v>
      </c>
      <c r="EY38" s="83">
        <f>AY38</f>
        <v>0</v>
      </c>
      <c r="EZ38" s="83">
        <f>BB38</f>
        <v>0</v>
      </c>
      <c r="FA38" s="83">
        <f>BE38</f>
        <v>0</v>
      </c>
      <c r="FB38" s="83">
        <f>BH38</f>
        <v>0</v>
      </c>
      <c r="FC38" s="83">
        <f>BK38</f>
        <v>0</v>
      </c>
      <c r="FD38" s="83">
        <f>BN38</f>
        <v>0</v>
      </c>
      <c r="FE38" s="83">
        <f>BQ38</f>
        <v>0</v>
      </c>
      <c r="FF38" s="83">
        <f>BT38</f>
        <v>0</v>
      </c>
      <c r="FG38" s="83">
        <f>BW38</f>
        <v>0</v>
      </c>
      <c r="FH38" s="83">
        <f>BZ38</f>
        <v>0</v>
      </c>
      <c r="FI38" s="83">
        <f>CC38</f>
        <v>0</v>
      </c>
      <c r="FJ38" s="83">
        <f>CF38</f>
        <v>0</v>
      </c>
      <c r="FK38" s="83">
        <f>CI38</f>
        <v>0</v>
      </c>
      <c r="FL38" s="83">
        <f>CL38</f>
        <v>0</v>
      </c>
      <c r="FM38" s="83">
        <f>CO38</f>
        <v>0</v>
      </c>
      <c r="FN38" s="83">
        <f>CR38</f>
        <v>0</v>
      </c>
      <c r="FO38" s="83">
        <f>CU38</f>
        <v>0</v>
      </c>
      <c r="FP38" s="83">
        <f>CX38</f>
        <v>0</v>
      </c>
      <c r="FQ38" s="83">
        <f>DA38</f>
        <v>0</v>
      </c>
      <c r="FR38" s="83">
        <f>DD38</f>
        <v>0</v>
      </c>
      <c r="FS38" s="83">
        <f>DG38</f>
        <v>0</v>
      </c>
      <c r="FT38" s="143">
        <f>DJ38</f>
        <v>0</v>
      </c>
      <c r="FX38" s="36">
        <f t="shared" si="130"/>
        <v>32</v>
      </c>
      <c r="FY38" s="142">
        <f>AK38</f>
        <v>30</v>
      </c>
      <c r="FZ38" s="83">
        <f>AN38</f>
        <v>0</v>
      </c>
      <c r="GA38" s="83">
        <f>AQ38</f>
        <v>0</v>
      </c>
      <c r="GB38" s="83">
        <f>AT38</f>
        <v>0</v>
      </c>
      <c r="GC38" s="83">
        <f>AW38</f>
        <v>0</v>
      </c>
      <c r="GD38" s="83">
        <f>AZ38</f>
        <v>0</v>
      </c>
      <c r="GE38" s="83">
        <f>BC38</f>
        <v>0</v>
      </c>
      <c r="GF38" s="83">
        <f>BF38</f>
        <v>0</v>
      </c>
      <c r="GG38" s="83">
        <f>BI38</f>
        <v>0</v>
      </c>
      <c r="GH38" s="83">
        <f>BL38</f>
        <v>0</v>
      </c>
      <c r="GI38" s="83">
        <f>BO38</f>
        <v>0</v>
      </c>
      <c r="GJ38" s="83">
        <f>BR38</f>
        <v>0</v>
      </c>
      <c r="GK38" s="83">
        <f>BU38</f>
        <v>0</v>
      </c>
      <c r="GL38" s="83">
        <f>BX38</f>
        <v>0</v>
      </c>
      <c r="GM38" s="83">
        <f>CA38</f>
        <v>0</v>
      </c>
      <c r="GN38" s="83">
        <f>CD38</f>
        <v>0</v>
      </c>
      <c r="GO38" s="83">
        <f>CG38</f>
        <v>0</v>
      </c>
      <c r="GP38" s="83">
        <f>CJ38</f>
        <v>0</v>
      </c>
      <c r="GQ38" s="83">
        <f>CM38</f>
        <v>0</v>
      </c>
      <c r="GR38" s="83">
        <f>CP38</f>
        <v>0</v>
      </c>
      <c r="GS38" s="83">
        <f>CS38</f>
        <v>0</v>
      </c>
      <c r="GT38" s="83">
        <f>CV38</f>
        <v>0</v>
      </c>
      <c r="GU38" s="83">
        <f>CY38</f>
        <v>0</v>
      </c>
      <c r="GV38" s="83">
        <f>DB38</f>
        <v>0</v>
      </c>
      <c r="GW38" s="83">
        <f t="shared" si="119"/>
        <v>0</v>
      </c>
      <c r="GX38" s="83">
        <f>DH38</f>
        <v>0</v>
      </c>
      <c r="GY38" s="143">
        <f>DK38</f>
        <v>0</v>
      </c>
      <c r="HD38" s="36">
        <f t="shared" si="131"/>
        <v>32</v>
      </c>
      <c r="HE38" s="36">
        <f t="shared" si="122"/>
        <v>0</v>
      </c>
      <c r="HF38" s="36">
        <f>IF($HF$2&lt;=5,0,(INDEX($ET$7:$FT$38,HD38,$HD$1)))</f>
        <v>0</v>
      </c>
      <c r="HG38" s="36">
        <f t="shared" si="124"/>
        <v>0</v>
      </c>
      <c r="HK38" s="152"/>
      <c r="HM38" s="153"/>
      <c r="HQ38" s="159" t="str">
        <f t="shared" si="125"/>
        <v/>
      </c>
      <c r="HR38" s="160" t="str">
        <f t="shared" si="126"/>
        <v/>
      </c>
      <c r="HU38" s="36">
        <v>16</v>
      </c>
      <c r="HV38" s="36">
        <f t="shared" si="132"/>
        <v>32</v>
      </c>
      <c r="HW38" s="142">
        <v>32</v>
      </c>
      <c r="HX38" s="83">
        <v>0</v>
      </c>
      <c r="HY38" s="83">
        <v>0</v>
      </c>
      <c r="HZ38" s="83">
        <v>0</v>
      </c>
      <c r="IA38" s="83">
        <v>0</v>
      </c>
      <c r="IB38" s="83">
        <v>0</v>
      </c>
      <c r="IC38" s="83">
        <v>0</v>
      </c>
      <c r="ID38" s="83">
        <v>0</v>
      </c>
      <c r="IE38" s="83">
        <v>0</v>
      </c>
      <c r="IF38" s="83">
        <v>0</v>
      </c>
      <c r="IG38" s="83">
        <v>0</v>
      </c>
      <c r="IH38" s="83">
        <v>0</v>
      </c>
      <c r="II38" s="83">
        <v>0</v>
      </c>
      <c r="IJ38" s="83">
        <v>0</v>
      </c>
      <c r="IK38" s="83">
        <v>0</v>
      </c>
      <c r="IL38" s="83">
        <v>0</v>
      </c>
      <c r="IM38" s="83">
        <v>0</v>
      </c>
      <c r="IN38" s="83">
        <v>0</v>
      </c>
      <c r="IO38" s="83">
        <v>0</v>
      </c>
      <c r="IP38" s="83">
        <v>0</v>
      </c>
      <c r="IQ38" s="83">
        <v>0</v>
      </c>
      <c r="IR38" s="83">
        <v>0</v>
      </c>
      <c r="IS38" s="83">
        <v>0</v>
      </c>
      <c r="IT38" s="83">
        <v>0</v>
      </c>
      <c r="IU38" s="83">
        <v>0</v>
      </c>
      <c r="IV38" s="83">
        <v>0</v>
      </c>
      <c r="IW38" s="143">
        <v>0</v>
      </c>
      <c r="IY38" s="36">
        <f t="shared" si="127"/>
        <v>0</v>
      </c>
    </row>
    <row r="39" spans="1:259" ht="15.9" customHeight="1" thickTop="1" x14ac:dyDescent="0.25">
      <c r="A39" s="111"/>
      <c r="B39" s="112"/>
      <c r="C39" s="112"/>
      <c r="D39" s="113"/>
      <c r="E39" s="114"/>
      <c r="F39" s="113"/>
      <c r="G39" s="113"/>
      <c r="H39" s="113"/>
      <c r="I39" s="113"/>
      <c r="AI39" s="138"/>
      <c r="AK39" s="149"/>
      <c r="AO39" s="138"/>
      <c r="AQ39" s="149"/>
      <c r="AU39" s="138"/>
      <c r="AW39" s="149"/>
      <c r="BA39" s="138"/>
      <c r="BC39" s="149"/>
      <c r="BG39" s="138"/>
      <c r="BH39" s="36"/>
      <c r="BI39" s="149"/>
      <c r="BJ39" s="36"/>
      <c r="BK39" s="36"/>
      <c r="BL39" s="36"/>
      <c r="BM39" s="138"/>
      <c r="BN39" s="36"/>
      <c r="BO39" s="149"/>
      <c r="BS39" s="138"/>
      <c r="BU39" s="149"/>
      <c r="BY39" s="138"/>
      <c r="CA39" s="149"/>
      <c r="CE39" s="138"/>
      <c r="CG39" s="149"/>
      <c r="CK39" s="138"/>
      <c r="CM39" s="149"/>
      <c r="CQ39" s="138"/>
      <c r="CS39" s="149"/>
      <c r="CW39" s="138"/>
      <c r="CY39" s="149"/>
      <c r="DC39" s="138"/>
      <c r="DE39" s="149"/>
      <c r="DI39" s="138"/>
      <c r="DK39" s="149"/>
      <c r="GW39" s="85"/>
      <c r="HJ39" s="36">
        <f>HJ37+1</f>
        <v>17</v>
      </c>
      <c r="HK39" s="152">
        <f>IF(HE23=0,"",HE23)</f>
        <v>4</v>
      </c>
      <c r="HL39" s="36">
        <f>IF(HF23=0,"",HF23)</f>
        <v>5</v>
      </c>
      <c r="HM39" s="153">
        <f>IF(HG23=0,"",HG23)</f>
        <v>6</v>
      </c>
      <c r="HQ39" s="159" t="str">
        <f t="shared" si="125"/>
        <v>Jílek Filip</v>
      </c>
      <c r="HR39" s="160" t="str">
        <f t="shared" si="126"/>
        <v>Čech.</v>
      </c>
    </row>
    <row r="40" spans="1:259" x14ac:dyDescent="0.25">
      <c r="A40" s="93" t="str">
        <f>'[2]Základní údaje'!$B$7</f>
        <v xml:space="preserve">Jablunkov,  27.1.2024 </v>
      </c>
      <c r="E40"/>
      <c r="AI40" s="138" t="str">
        <f>AI5</f>
        <v>los</v>
      </c>
      <c r="AJ40" s="36">
        <f t="shared" ref="AJ40:CU40" si="159">AJ5</f>
        <v>1</v>
      </c>
      <c r="AK40" s="149">
        <f t="shared" si="159"/>
        <v>2</v>
      </c>
      <c r="AL40" s="36" t="str">
        <f t="shared" si="159"/>
        <v>los</v>
      </c>
      <c r="AM40" s="36">
        <f t="shared" si="159"/>
        <v>1</v>
      </c>
      <c r="AN40" s="36">
        <f t="shared" si="159"/>
        <v>2</v>
      </c>
      <c r="AO40" s="138" t="str">
        <f t="shared" si="159"/>
        <v>los</v>
      </c>
      <c r="AP40" s="36">
        <f t="shared" si="159"/>
        <v>1</v>
      </c>
      <c r="AQ40" s="149">
        <f t="shared" si="159"/>
        <v>2</v>
      </c>
      <c r="AR40" s="36" t="str">
        <f t="shared" si="159"/>
        <v>los</v>
      </c>
      <c r="AS40" s="36">
        <f t="shared" si="159"/>
        <v>1</v>
      </c>
      <c r="AT40" s="36">
        <f t="shared" si="159"/>
        <v>2</v>
      </c>
      <c r="AU40" s="138" t="str">
        <f t="shared" si="159"/>
        <v>los</v>
      </c>
      <c r="AV40" s="36">
        <f t="shared" si="159"/>
        <v>1</v>
      </c>
      <c r="AW40" s="149">
        <f t="shared" si="159"/>
        <v>2</v>
      </c>
      <c r="AX40" s="36" t="str">
        <f t="shared" si="159"/>
        <v>los</v>
      </c>
      <c r="AY40" s="36">
        <f t="shared" si="159"/>
        <v>1</v>
      </c>
      <c r="AZ40" s="36">
        <f t="shared" si="159"/>
        <v>2</v>
      </c>
      <c r="BA40" s="138" t="str">
        <f t="shared" si="159"/>
        <v>los</v>
      </c>
      <c r="BB40" s="36">
        <f t="shared" si="159"/>
        <v>1</v>
      </c>
      <c r="BC40" s="149">
        <f t="shared" si="159"/>
        <v>2</v>
      </c>
      <c r="BD40" s="36" t="str">
        <f t="shared" si="159"/>
        <v>los</v>
      </c>
      <c r="BE40" s="36">
        <f t="shared" si="159"/>
        <v>1</v>
      </c>
      <c r="BF40" s="36">
        <f t="shared" si="159"/>
        <v>2</v>
      </c>
      <c r="BG40" s="138" t="str">
        <f t="shared" si="159"/>
        <v>los</v>
      </c>
      <c r="BH40" s="36">
        <f t="shared" si="159"/>
        <v>1</v>
      </c>
      <c r="BI40" s="149">
        <f t="shared" si="159"/>
        <v>2</v>
      </c>
      <c r="BJ40" s="36" t="str">
        <f t="shared" si="159"/>
        <v>los</v>
      </c>
      <c r="BK40" s="36">
        <f t="shared" si="159"/>
        <v>1</v>
      </c>
      <c r="BL40" s="36">
        <f t="shared" si="159"/>
        <v>2</v>
      </c>
      <c r="BM40" s="138" t="str">
        <f t="shared" si="159"/>
        <v>los</v>
      </c>
      <c r="BN40" s="36">
        <f t="shared" si="159"/>
        <v>1</v>
      </c>
      <c r="BO40" s="149">
        <f t="shared" si="159"/>
        <v>2</v>
      </c>
      <c r="BP40" s="36" t="str">
        <f t="shared" si="159"/>
        <v>los</v>
      </c>
      <c r="BQ40" s="36">
        <f t="shared" si="159"/>
        <v>1</v>
      </c>
      <c r="BR40" s="36">
        <f t="shared" si="159"/>
        <v>2</v>
      </c>
      <c r="BS40" s="138" t="str">
        <f t="shared" si="159"/>
        <v>los</v>
      </c>
      <c r="BT40" s="36">
        <f t="shared" si="159"/>
        <v>1</v>
      </c>
      <c r="BU40" s="149">
        <f t="shared" si="159"/>
        <v>2</v>
      </c>
      <c r="BV40" s="36" t="str">
        <f t="shared" si="159"/>
        <v>los</v>
      </c>
      <c r="BW40" s="36">
        <f t="shared" si="159"/>
        <v>1</v>
      </c>
      <c r="BX40" s="36">
        <f t="shared" si="159"/>
        <v>2</v>
      </c>
      <c r="BY40" s="138" t="str">
        <f t="shared" si="159"/>
        <v>los</v>
      </c>
      <c r="BZ40" s="36">
        <f t="shared" si="159"/>
        <v>1</v>
      </c>
      <c r="CA40" s="149">
        <f t="shared" si="159"/>
        <v>2</v>
      </c>
      <c r="CB40" s="36" t="str">
        <f t="shared" si="159"/>
        <v>los</v>
      </c>
      <c r="CC40" s="36">
        <f t="shared" si="159"/>
        <v>1</v>
      </c>
      <c r="CD40" s="36">
        <f t="shared" si="159"/>
        <v>2</v>
      </c>
      <c r="CE40" s="138" t="str">
        <f t="shared" si="159"/>
        <v>los</v>
      </c>
      <c r="CF40" s="36">
        <f t="shared" si="159"/>
        <v>1</v>
      </c>
      <c r="CG40" s="149">
        <f t="shared" si="159"/>
        <v>2</v>
      </c>
      <c r="CH40" s="36" t="str">
        <f t="shared" si="159"/>
        <v>los</v>
      </c>
      <c r="CI40" s="36">
        <f t="shared" si="159"/>
        <v>1</v>
      </c>
      <c r="CJ40" s="36">
        <f t="shared" si="159"/>
        <v>2</v>
      </c>
      <c r="CK40" s="138" t="str">
        <f t="shared" si="159"/>
        <v>los</v>
      </c>
      <c r="CL40" s="36">
        <f t="shared" si="159"/>
        <v>1</v>
      </c>
      <c r="CM40" s="149">
        <f t="shared" si="159"/>
        <v>2</v>
      </c>
      <c r="CN40" s="36" t="str">
        <f t="shared" si="159"/>
        <v>los</v>
      </c>
      <c r="CO40" s="36">
        <f t="shared" si="159"/>
        <v>1</v>
      </c>
      <c r="CP40" s="36">
        <f t="shared" si="159"/>
        <v>2</v>
      </c>
      <c r="CQ40" s="138" t="str">
        <f t="shared" si="159"/>
        <v>los</v>
      </c>
      <c r="CR40" s="36">
        <f t="shared" si="159"/>
        <v>1</v>
      </c>
      <c r="CS40" s="149">
        <f t="shared" si="159"/>
        <v>2</v>
      </c>
      <c r="CT40" s="36" t="str">
        <f t="shared" si="159"/>
        <v>los</v>
      </c>
      <c r="CU40" s="36">
        <f t="shared" si="159"/>
        <v>1</v>
      </c>
      <c r="CV40" s="36">
        <f t="shared" ref="CV40:DK40" si="160">CV5</f>
        <v>2</v>
      </c>
      <c r="CW40" s="138" t="str">
        <f t="shared" si="160"/>
        <v>los</v>
      </c>
      <c r="CX40" s="36">
        <f t="shared" si="160"/>
        <v>1</v>
      </c>
      <c r="CY40" s="149">
        <f t="shared" si="160"/>
        <v>2</v>
      </c>
      <c r="CZ40" s="36" t="str">
        <f t="shared" si="160"/>
        <v>los</v>
      </c>
      <c r="DA40" s="36">
        <f t="shared" si="160"/>
        <v>1</v>
      </c>
      <c r="DB40" s="36">
        <f t="shared" si="160"/>
        <v>2</v>
      </c>
      <c r="DC40" s="138" t="str">
        <f t="shared" si="160"/>
        <v>los</v>
      </c>
      <c r="DD40" s="36">
        <f t="shared" si="160"/>
        <v>1</v>
      </c>
      <c r="DE40" s="149">
        <f t="shared" si="160"/>
        <v>2</v>
      </c>
      <c r="DF40" s="36" t="str">
        <f t="shared" si="160"/>
        <v>los</v>
      </c>
      <c r="DG40" s="36">
        <f t="shared" si="160"/>
        <v>1</v>
      </c>
      <c r="DH40" s="36">
        <f t="shared" si="160"/>
        <v>2</v>
      </c>
      <c r="DI40" s="138" t="str">
        <f t="shared" si="160"/>
        <v>los</v>
      </c>
      <c r="DJ40" s="36">
        <f t="shared" si="160"/>
        <v>1</v>
      </c>
      <c r="DK40" s="149">
        <f t="shared" si="160"/>
        <v>2</v>
      </c>
      <c r="ES40" s="36" t="str">
        <f>ES5</f>
        <v>VL</v>
      </c>
      <c r="EU40" s="36">
        <v>1</v>
      </c>
      <c r="EV40" s="36">
        <v>1</v>
      </c>
      <c r="EY40" s="36">
        <v>1</v>
      </c>
      <c r="EZ40" s="36">
        <v>1</v>
      </c>
      <c r="FC40" s="36">
        <v>1</v>
      </c>
      <c r="FD40" s="36">
        <v>1</v>
      </c>
      <c r="FG40" s="36">
        <v>1</v>
      </c>
      <c r="FH40" s="36">
        <v>1</v>
      </c>
      <c r="FK40" s="36">
        <v>1</v>
      </c>
      <c r="FL40" s="36">
        <v>1</v>
      </c>
      <c r="FO40" s="36">
        <v>1</v>
      </c>
      <c r="FP40" s="36">
        <v>1</v>
      </c>
      <c r="FS40" s="36">
        <v>1</v>
      </c>
      <c r="FT40" s="36">
        <v>1</v>
      </c>
      <c r="FX40" s="36" t="str">
        <f>FX5</f>
        <v>VL</v>
      </c>
      <c r="FZ40" s="36">
        <v>1</v>
      </c>
      <c r="GA40" s="36">
        <v>1</v>
      </c>
      <c r="GD40" s="36">
        <v>1</v>
      </c>
      <c r="GE40" s="36">
        <v>1</v>
      </c>
      <c r="GH40" s="36">
        <v>1</v>
      </c>
      <c r="GI40" s="36">
        <v>1</v>
      </c>
      <c r="GL40" s="36">
        <v>1</v>
      </c>
      <c r="GM40" s="36">
        <v>1</v>
      </c>
      <c r="GP40" s="36">
        <v>1</v>
      </c>
      <c r="GQ40" s="36">
        <v>1</v>
      </c>
      <c r="GT40" s="36">
        <v>1</v>
      </c>
      <c r="GU40" s="36">
        <v>1</v>
      </c>
      <c r="GX40" s="36">
        <v>1</v>
      </c>
      <c r="GY40" s="36">
        <v>1</v>
      </c>
      <c r="HE40" s="36" t="str">
        <f>HE5</f>
        <v>VL</v>
      </c>
      <c r="HF40" s="36">
        <f>IF($HF$2&lt;=5,0,(INDEX($ET$40:$FT$40,1,HD1)))</f>
        <v>1</v>
      </c>
      <c r="HG40" s="36">
        <f>IF($HF$2&lt;=5,0,(INDEX($FY$40:$GY$40,1,HD1)))</f>
        <v>1</v>
      </c>
      <c r="HK40" s="152"/>
      <c r="HM40" s="153"/>
      <c r="HQ40" s="159" t="str">
        <f t="shared" si="125"/>
        <v/>
      </c>
      <c r="HR40" s="160" t="str">
        <f t="shared" si="126"/>
        <v/>
      </c>
      <c r="HV40" s="36" t="str">
        <f>FX40</f>
        <v>VL</v>
      </c>
      <c r="HX40" s="36">
        <v>1</v>
      </c>
      <c r="HY40" s="36">
        <v>1</v>
      </c>
      <c r="IB40" s="36">
        <v>1</v>
      </c>
      <c r="IC40" s="36">
        <v>1</v>
      </c>
      <c r="IF40" s="36">
        <v>1</v>
      </c>
      <c r="IG40" s="36">
        <v>1</v>
      </c>
      <c r="IJ40" s="36">
        <v>1</v>
      </c>
      <c r="IK40" s="36">
        <v>1</v>
      </c>
      <c r="IN40" s="36">
        <v>1</v>
      </c>
      <c r="IO40" s="36">
        <v>1</v>
      </c>
      <c r="IR40" s="36">
        <v>1</v>
      </c>
      <c r="IS40" s="36">
        <v>1</v>
      </c>
      <c r="IV40" s="36">
        <v>1</v>
      </c>
      <c r="IW40" s="36">
        <v>1</v>
      </c>
      <c r="IY40" s="36">
        <f>IF($HF$2&lt;=5,0,(INDEX($HW$40:$IW$40,1,$HD$1)))</f>
        <v>1</v>
      </c>
    </row>
    <row r="41" spans="1:259" x14ac:dyDescent="0.25">
      <c r="D41" s="93"/>
      <c r="AI41" s="138">
        <f>AI4</f>
        <v>32</v>
      </c>
      <c r="AJ41" s="36">
        <f t="shared" ref="AJ41:CU41" si="161">AJ4</f>
        <v>32</v>
      </c>
      <c r="AK41" s="149">
        <f t="shared" si="161"/>
        <v>32</v>
      </c>
      <c r="AL41" s="36">
        <f t="shared" si="161"/>
        <v>31</v>
      </c>
      <c r="AM41" s="36">
        <f t="shared" si="161"/>
        <v>31</v>
      </c>
      <c r="AN41" s="36">
        <f t="shared" si="161"/>
        <v>31</v>
      </c>
      <c r="AO41" s="138">
        <f t="shared" si="161"/>
        <v>30</v>
      </c>
      <c r="AP41" s="36">
        <f t="shared" si="161"/>
        <v>30</v>
      </c>
      <c r="AQ41" s="149">
        <f t="shared" si="161"/>
        <v>30</v>
      </c>
      <c r="AR41" s="36">
        <f t="shared" si="161"/>
        <v>29</v>
      </c>
      <c r="AS41" s="36">
        <f t="shared" si="161"/>
        <v>29</v>
      </c>
      <c r="AT41" s="36">
        <f t="shared" si="161"/>
        <v>29</v>
      </c>
      <c r="AU41" s="138">
        <f t="shared" si="161"/>
        <v>28</v>
      </c>
      <c r="AV41" s="36">
        <f t="shared" si="161"/>
        <v>28</v>
      </c>
      <c r="AW41" s="149">
        <f t="shared" si="161"/>
        <v>28</v>
      </c>
      <c r="AX41" s="36">
        <f t="shared" si="161"/>
        <v>27</v>
      </c>
      <c r="AY41" s="36">
        <f t="shared" si="161"/>
        <v>27</v>
      </c>
      <c r="AZ41" s="36">
        <f t="shared" si="161"/>
        <v>27</v>
      </c>
      <c r="BA41" s="138">
        <f t="shared" si="161"/>
        <v>26</v>
      </c>
      <c r="BB41" s="36">
        <f t="shared" si="161"/>
        <v>26</v>
      </c>
      <c r="BC41" s="149">
        <f t="shared" si="161"/>
        <v>26</v>
      </c>
      <c r="BD41" s="36">
        <f t="shared" si="161"/>
        <v>25</v>
      </c>
      <c r="BE41" s="36">
        <f t="shared" si="161"/>
        <v>25</v>
      </c>
      <c r="BF41" s="36">
        <f t="shared" si="161"/>
        <v>25</v>
      </c>
      <c r="BG41" s="138">
        <f t="shared" si="161"/>
        <v>24</v>
      </c>
      <c r="BH41" s="36">
        <f t="shared" si="161"/>
        <v>24</v>
      </c>
      <c r="BI41" s="149">
        <f t="shared" si="161"/>
        <v>24</v>
      </c>
      <c r="BJ41" s="36">
        <f t="shared" si="161"/>
        <v>23</v>
      </c>
      <c r="BK41" s="36">
        <f t="shared" si="161"/>
        <v>23</v>
      </c>
      <c r="BL41" s="36">
        <f t="shared" si="161"/>
        <v>23</v>
      </c>
      <c r="BM41" s="138">
        <f t="shared" si="161"/>
        <v>22</v>
      </c>
      <c r="BN41" s="36">
        <f t="shared" si="161"/>
        <v>22</v>
      </c>
      <c r="BO41" s="149">
        <f t="shared" si="161"/>
        <v>22</v>
      </c>
      <c r="BP41" s="36">
        <f t="shared" si="161"/>
        <v>21</v>
      </c>
      <c r="BQ41" s="36">
        <f t="shared" si="161"/>
        <v>21</v>
      </c>
      <c r="BR41" s="36">
        <f t="shared" si="161"/>
        <v>21</v>
      </c>
      <c r="BS41" s="138">
        <f t="shared" si="161"/>
        <v>20</v>
      </c>
      <c r="BT41" s="36">
        <f t="shared" si="161"/>
        <v>20</v>
      </c>
      <c r="BU41" s="149">
        <f t="shared" si="161"/>
        <v>20</v>
      </c>
      <c r="BV41" s="36">
        <f t="shared" si="161"/>
        <v>19</v>
      </c>
      <c r="BW41" s="36">
        <f t="shared" si="161"/>
        <v>19</v>
      </c>
      <c r="BX41" s="36">
        <f t="shared" si="161"/>
        <v>19</v>
      </c>
      <c r="BY41" s="138">
        <f t="shared" si="161"/>
        <v>18</v>
      </c>
      <c r="BZ41" s="36">
        <f t="shared" si="161"/>
        <v>18</v>
      </c>
      <c r="CA41" s="149">
        <f t="shared" si="161"/>
        <v>18</v>
      </c>
      <c r="CB41" s="36">
        <f t="shared" si="161"/>
        <v>17</v>
      </c>
      <c r="CC41" s="36">
        <f t="shared" si="161"/>
        <v>17</v>
      </c>
      <c r="CD41" s="36">
        <f t="shared" si="161"/>
        <v>17</v>
      </c>
      <c r="CE41" s="138">
        <f t="shared" si="161"/>
        <v>16</v>
      </c>
      <c r="CF41" s="36">
        <f t="shared" si="161"/>
        <v>16</v>
      </c>
      <c r="CG41" s="149">
        <f t="shared" si="161"/>
        <v>16</v>
      </c>
      <c r="CH41" s="36">
        <f t="shared" si="161"/>
        <v>15</v>
      </c>
      <c r="CI41" s="36">
        <f t="shared" si="161"/>
        <v>15</v>
      </c>
      <c r="CJ41" s="36">
        <f t="shared" si="161"/>
        <v>15</v>
      </c>
      <c r="CK41" s="138">
        <f t="shared" si="161"/>
        <v>14</v>
      </c>
      <c r="CL41" s="36">
        <f t="shared" si="161"/>
        <v>14</v>
      </c>
      <c r="CM41" s="149">
        <f t="shared" si="161"/>
        <v>14</v>
      </c>
      <c r="CN41" s="36">
        <f t="shared" si="161"/>
        <v>13</v>
      </c>
      <c r="CO41" s="36">
        <f t="shared" si="161"/>
        <v>13</v>
      </c>
      <c r="CP41" s="36">
        <f t="shared" si="161"/>
        <v>13</v>
      </c>
      <c r="CQ41" s="138">
        <f t="shared" si="161"/>
        <v>12</v>
      </c>
      <c r="CR41" s="36">
        <f t="shared" si="161"/>
        <v>12</v>
      </c>
      <c r="CS41" s="149">
        <f t="shared" si="161"/>
        <v>12</v>
      </c>
      <c r="CT41" s="36">
        <f t="shared" si="161"/>
        <v>11</v>
      </c>
      <c r="CU41" s="36">
        <f t="shared" si="161"/>
        <v>11</v>
      </c>
      <c r="CV41" s="36">
        <f t="shared" ref="CV41:DK41" si="162">CV4</f>
        <v>11</v>
      </c>
      <c r="CW41" s="138">
        <f t="shared" si="162"/>
        <v>10</v>
      </c>
      <c r="CX41" s="36">
        <f t="shared" si="162"/>
        <v>10</v>
      </c>
      <c r="CY41" s="149">
        <f t="shared" si="162"/>
        <v>10</v>
      </c>
      <c r="CZ41" s="36">
        <f t="shared" si="162"/>
        <v>9</v>
      </c>
      <c r="DA41" s="36">
        <f t="shared" si="162"/>
        <v>9</v>
      </c>
      <c r="DB41" s="36">
        <f t="shared" si="162"/>
        <v>9</v>
      </c>
      <c r="DC41" s="138">
        <f t="shared" si="162"/>
        <v>8</v>
      </c>
      <c r="DD41" s="36">
        <f t="shared" si="162"/>
        <v>8</v>
      </c>
      <c r="DE41" s="149">
        <f t="shared" si="162"/>
        <v>8</v>
      </c>
      <c r="DF41" s="36">
        <f t="shared" si="162"/>
        <v>7</v>
      </c>
      <c r="DG41" s="36">
        <f t="shared" si="162"/>
        <v>7</v>
      </c>
      <c r="DH41" s="36">
        <f t="shared" si="162"/>
        <v>7</v>
      </c>
      <c r="DI41" s="138">
        <f t="shared" si="162"/>
        <v>6</v>
      </c>
      <c r="DJ41" s="36">
        <f t="shared" si="162"/>
        <v>6</v>
      </c>
      <c r="DK41" s="149">
        <f t="shared" si="162"/>
        <v>6</v>
      </c>
      <c r="HJ41" s="36">
        <f>HJ39+1</f>
        <v>18</v>
      </c>
      <c r="HK41" s="152">
        <f>IF(HE24=0,"",HE24)</f>
        <v>5</v>
      </c>
      <c r="HL41" s="36">
        <f>IF(HF24=0,"",HF24)</f>
        <v>4</v>
      </c>
      <c r="HM41" s="153" t="str">
        <f>IF(HG24=0,"",HG24)</f>
        <v>VL</v>
      </c>
      <c r="HQ41" s="159" t="str">
        <f t="shared" si="125"/>
        <v>Uhliarik Max</v>
      </c>
      <c r="HR41" s="160" t="str">
        <f t="shared" si="126"/>
        <v>Nitra</v>
      </c>
      <c r="HW41" s="36">
        <f>HW4</f>
        <v>32</v>
      </c>
      <c r="HX41" s="36">
        <f t="shared" ref="HX41:IW41" si="163">HX4</f>
        <v>31</v>
      </c>
      <c r="HY41" s="36">
        <f t="shared" si="163"/>
        <v>30</v>
      </c>
      <c r="HZ41" s="36">
        <f t="shared" si="163"/>
        <v>29</v>
      </c>
      <c r="IA41" s="36">
        <f t="shared" si="163"/>
        <v>28</v>
      </c>
      <c r="IB41" s="36">
        <f t="shared" si="163"/>
        <v>27</v>
      </c>
      <c r="IC41" s="36">
        <f t="shared" si="163"/>
        <v>26</v>
      </c>
      <c r="ID41" s="36">
        <f t="shared" si="163"/>
        <v>25</v>
      </c>
      <c r="IE41" s="36">
        <f t="shared" si="163"/>
        <v>24</v>
      </c>
      <c r="IF41" s="36">
        <f t="shared" si="163"/>
        <v>23</v>
      </c>
      <c r="IG41" s="36">
        <f t="shared" si="163"/>
        <v>22</v>
      </c>
      <c r="IH41" s="36">
        <f t="shared" si="163"/>
        <v>21</v>
      </c>
      <c r="II41" s="36">
        <f t="shared" si="163"/>
        <v>20</v>
      </c>
      <c r="IJ41" s="36">
        <f t="shared" si="163"/>
        <v>19</v>
      </c>
      <c r="IK41" s="36">
        <f t="shared" si="163"/>
        <v>18</v>
      </c>
      <c r="IL41" s="36">
        <f t="shared" si="163"/>
        <v>17</v>
      </c>
      <c r="IM41" s="36">
        <f t="shared" si="163"/>
        <v>16</v>
      </c>
      <c r="IN41" s="36">
        <f t="shared" si="163"/>
        <v>15</v>
      </c>
      <c r="IO41" s="36">
        <f t="shared" si="163"/>
        <v>14</v>
      </c>
      <c r="IP41" s="36">
        <f t="shared" si="163"/>
        <v>13</v>
      </c>
      <c r="IQ41" s="36">
        <f t="shared" si="163"/>
        <v>12</v>
      </c>
      <c r="IR41" s="36">
        <f t="shared" si="163"/>
        <v>11</v>
      </c>
      <c r="IS41" s="36">
        <f t="shared" si="163"/>
        <v>10</v>
      </c>
      <c r="IT41" s="36">
        <f t="shared" si="163"/>
        <v>9</v>
      </c>
      <c r="IU41" s="36">
        <f t="shared" si="163"/>
        <v>8</v>
      </c>
      <c r="IV41" s="36">
        <f t="shared" si="163"/>
        <v>7</v>
      </c>
      <c r="IW41" s="36">
        <f t="shared" si="163"/>
        <v>6</v>
      </c>
    </row>
    <row r="42" spans="1:259" x14ac:dyDescent="0.25">
      <c r="HK42" s="152"/>
      <c r="HM42" s="153"/>
      <c r="HQ42" s="159" t="str">
        <f t="shared" si="125"/>
        <v/>
      </c>
      <c r="HR42" s="160" t="str">
        <f t="shared" si="126"/>
        <v/>
      </c>
    </row>
    <row r="43" spans="1:259" x14ac:dyDescent="0.25">
      <c r="M43" s="288" t="str">
        <f>AI151</f>
        <v>1. kolo</v>
      </c>
      <c r="N43" s="288"/>
      <c r="P43" s="295" t="str">
        <f>AM151</f>
        <v>2. kolo</v>
      </c>
      <c r="Q43" s="295"/>
      <c r="HJ43" s="36">
        <f>HJ41+1</f>
        <v>19</v>
      </c>
      <c r="HK43" s="152">
        <f>IF(HE25=0,"",HE25)</f>
        <v>6</v>
      </c>
      <c r="HL43" s="36" t="str">
        <f>IF(HF25=0,"",HF25)</f>
        <v>VL</v>
      </c>
      <c r="HM43" s="153">
        <f>IF(HG25=0,"",HG25)</f>
        <v>4</v>
      </c>
      <c r="HQ43" s="159" t="str">
        <f t="shared" si="125"/>
        <v>Novosadová Natália</v>
      </c>
      <c r="HR43" s="160" t="str">
        <f t="shared" si="126"/>
        <v>Nitra</v>
      </c>
    </row>
    <row r="44" spans="1:259" ht="13.8" thickBot="1" x14ac:dyDescent="0.3">
      <c r="HK44" s="152"/>
      <c r="HM44" s="153"/>
      <c r="HQ44" s="159" t="str">
        <f t="shared" si="125"/>
        <v/>
      </c>
      <c r="HR44" s="160" t="str">
        <f t="shared" si="126"/>
        <v/>
      </c>
    </row>
    <row r="45" spans="1:259" x14ac:dyDescent="0.25">
      <c r="L45" s="36">
        <f>AG153</f>
        <v>1</v>
      </c>
      <c r="M45" s="150">
        <f t="shared" ref="M45:M60" si="164">IF($HF$2&lt;=5,"",(IF(AI153=0,"",AI153)))</f>
        <v>1</v>
      </c>
      <c r="N45" s="151">
        <f t="shared" ref="N45:N60" si="165">IF($HF$2&lt;=5,"",(IF(AJ153=0,"",AJ153)))</f>
        <v>2</v>
      </c>
      <c r="P45" s="240">
        <f t="shared" ref="P45:P60" si="166">IF($HF$2&lt;=5,"",(IF(AM153=0,"",AM153)))</f>
        <v>3</v>
      </c>
      <c r="Q45" s="241">
        <f t="shared" ref="Q45:Q60" si="167">IF($HF$2&lt;=5,"",(IF(AN153=0,"",AN153)))</f>
        <v>1</v>
      </c>
      <c r="HJ45" s="36">
        <f>HJ43+1</f>
        <v>20</v>
      </c>
      <c r="HK45" s="152" t="str">
        <f>IF(HE26=0,"",HE26)</f>
        <v/>
      </c>
      <c r="HL45" s="36" t="str">
        <f>IF(HF26=0,"",HF26)</f>
        <v/>
      </c>
      <c r="HM45" s="153" t="str">
        <f>IF(HG26=0,"",HG26)</f>
        <v/>
      </c>
      <c r="HQ45" s="159" t="str">
        <f t="shared" si="125"/>
        <v/>
      </c>
      <c r="HR45" s="160" t="str">
        <f t="shared" si="126"/>
        <v/>
      </c>
    </row>
    <row r="46" spans="1:259" x14ac:dyDescent="0.25">
      <c r="L46" s="36">
        <f t="shared" ref="L46:L60" si="168">AG154</f>
        <v>2</v>
      </c>
      <c r="M46" s="152">
        <f t="shared" si="164"/>
        <v>4</v>
      </c>
      <c r="N46" s="153">
        <f t="shared" si="165"/>
        <v>5</v>
      </c>
      <c r="P46" s="242">
        <f t="shared" si="166"/>
        <v>6</v>
      </c>
      <c r="Q46" s="243">
        <f t="shared" si="167"/>
        <v>4</v>
      </c>
      <c r="HK46" s="152"/>
      <c r="HM46" s="153"/>
      <c r="HQ46" s="159" t="str">
        <f t="shared" si="125"/>
        <v/>
      </c>
      <c r="HR46" s="160" t="str">
        <f t="shared" si="126"/>
        <v/>
      </c>
    </row>
    <row r="47" spans="1:259" x14ac:dyDescent="0.25">
      <c r="L47" s="36">
        <f t="shared" si="168"/>
        <v>3</v>
      </c>
      <c r="M47" s="152" t="str">
        <f t="shared" si="164"/>
        <v/>
      </c>
      <c r="N47" s="153" t="str">
        <f t="shared" si="165"/>
        <v/>
      </c>
      <c r="P47" s="242" t="str">
        <f t="shared" si="166"/>
        <v/>
      </c>
      <c r="Q47" s="243" t="str">
        <f t="shared" si="167"/>
        <v/>
      </c>
      <c r="HJ47" s="36">
        <f>HJ45+1</f>
        <v>21</v>
      </c>
      <c r="HK47" s="152" t="str">
        <f>IF(HE27=0,"",HE27)</f>
        <v/>
      </c>
      <c r="HL47" s="36" t="str">
        <f>IF(HF27=0,"",HF27)</f>
        <v/>
      </c>
      <c r="HM47" s="153" t="str">
        <f>IF(HG27=0,"",HG27)</f>
        <v/>
      </c>
      <c r="HQ47" s="159" t="str">
        <f t="shared" si="125"/>
        <v/>
      </c>
      <c r="HR47" s="160" t="str">
        <f t="shared" si="126"/>
        <v/>
      </c>
    </row>
    <row r="48" spans="1:259" x14ac:dyDescent="0.25">
      <c r="L48" s="36">
        <f t="shared" si="168"/>
        <v>4</v>
      </c>
      <c r="M48" s="152" t="str">
        <f t="shared" si="164"/>
        <v/>
      </c>
      <c r="N48" s="153" t="str">
        <f t="shared" si="165"/>
        <v/>
      </c>
      <c r="P48" s="242" t="str">
        <f t="shared" si="166"/>
        <v/>
      </c>
      <c r="Q48" s="243" t="str">
        <f t="shared" si="167"/>
        <v/>
      </c>
      <c r="HK48" s="152"/>
      <c r="HM48" s="153"/>
      <c r="HQ48" s="159" t="str">
        <f t="shared" si="125"/>
        <v/>
      </c>
      <c r="HR48" s="160" t="str">
        <f t="shared" si="126"/>
        <v/>
      </c>
    </row>
    <row r="49" spans="12:226" x14ac:dyDescent="0.25">
      <c r="L49" s="36">
        <f t="shared" si="168"/>
        <v>5</v>
      </c>
      <c r="M49" s="152" t="str">
        <f t="shared" si="164"/>
        <v/>
      </c>
      <c r="N49" s="153" t="str">
        <f t="shared" si="165"/>
        <v/>
      </c>
      <c r="P49" s="242" t="str">
        <f t="shared" si="166"/>
        <v/>
      </c>
      <c r="Q49" s="243" t="str">
        <f t="shared" si="167"/>
        <v/>
      </c>
      <c r="AI49" s="288">
        <v>32</v>
      </c>
      <c r="AJ49" s="288"/>
      <c r="AK49" s="288"/>
      <c r="AL49" s="288"/>
      <c r="AM49" s="288"/>
      <c r="AO49" s="288">
        <v>31</v>
      </c>
      <c r="AP49" s="288"/>
      <c r="AQ49" s="288"/>
      <c r="AR49" s="288"/>
      <c r="AS49" s="288"/>
      <c r="AU49" s="288">
        <v>30</v>
      </c>
      <c r="AV49" s="288"/>
      <c r="AW49" s="288"/>
      <c r="AX49" s="288"/>
      <c r="AY49" s="288"/>
      <c r="BA49" s="288">
        <v>29</v>
      </c>
      <c r="BB49" s="288"/>
      <c r="BC49" s="288"/>
      <c r="BD49" s="288"/>
      <c r="BE49" s="288"/>
      <c r="BG49" s="288">
        <v>28</v>
      </c>
      <c r="BH49" s="288"/>
      <c r="BI49" s="288"/>
      <c r="BJ49" s="288"/>
      <c r="BK49" s="288"/>
      <c r="BM49" s="288">
        <v>27</v>
      </c>
      <c r="BN49" s="288"/>
      <c r="BO49" s="288"/>
      <c r="BP49" s="288"/>
      <c r="BQ49" s="288"/>
      <c r="BS49" s="288">
        <f>BM49-1</f>
        <v>26</v>
      </c>
      <c r="BT49" s="288"/>
      <c r="BU49" s="288"/>
      <c r="BV49" s="288"/>
      <c r="BW49" s="288"/>
      <c r="BY49" s="288">
        <f>BS49-1</f>
        <v>25</v>
      </c>
      <c r="BZ49" s="288"/>
      <c r="CA49" s="288"/>
      <c r="CB49" s="288"/>
      <c r="CC49" s="288"/>
      <c r="CE49" s="288">
        <f>BY49-1</f>
        <v>24</v>
      </c>
      <c r="CF49" s="288"/>
      <c r="CG49" s="288"/>
      <c r="CH49" s="288"/>
      <c r="CI49" s="288"/>
      <c r="CK49" s="288">
        <f>CE49-1</f>
        <v>23</v>
      </c>
      <c r="CL49" s="288"/>
      <c r="CM49" s="288"/>
      <c r="CN49" s="288"/>
      <c r="CO49" s="288"/>
      <c r="CQ49" s="288">
        <f>CK49-1</f>
        <v>22</v>
      </c>
      <c r="CR49" s="288"/>
      <c r="CS49" s="288"/>
      <c r="CT49" s="288"/>
      <c r="CU49" s="288"/>
      <c r="CW49" s="288">
        <f>CQ49-1</f>
        <v>21</v>
      </c>
      <c r="CX49" s="288"/>
      <c r="CY49" s="288"/>
      <c r="CZ49" s="288"/>
      <c r="DA49" s="288"/>
      <c r="DC49" s="288">
        <f>CW49-1</f>
        <v>20</v>
      </c>
      <c r="DD49" s="288"/>
      <c r="DE49" s="288"/>
      <c r="DF49" s="288"/>
      <c r="DG49" s="288"/>
      <c r="DI49" s="288">
        <f>DC49-1</f>
        <v>19</v>
      </c>
      <c r="DJ49" s="288"/>
      <c r="DK49" s="288"/>
      <c r="DL49" s="288"/>
      <c r="DM49" s="288"/>
      <c r="DO49" s="288">
        <f>DI49-1</f>
        <v>18</v>
      </c>
      <c r="DP49" s="288"/>
      <c r="DQ49" s="288"/>
      <c r="DR49" s="288"/>
      <c r="DS49" s="288"/>
      <c r="DU49" s="288">
        <f>DO49-1</f>
        <v>17</v>
      </c>
      <c r="DV49" s="288"/>
      <c r="DW49" s="288"/>
      <c r="DX49" s="288"/>
      <c r="DY49" s="288"/>
      <c r="EA49" s="288">
        <f>DU49-1</f>
        <v>16</v>
      </c>
      <c r="EB49" s="288"/>
      <c r="EC49" s="288"/>
      <c r="ED49" s="288"/>
      <c r="EE49" s="288"/>
      <c r="EG49" s="288">
        <f>EA49-1</f>
        <v>15</v>
      </c>
      <c r="EH49" s="288"/>
      <c r="EI49" s="288"/>
      <c r="EJ49" s="288"/>
      <c r="EK49" s="288"/>
      <c r="EM49" s="288">
        <f>EG49-1</f>
        <v>14</v>
      </c>
      <c r="EN49" s="288"/>
      <c r="EO49" s="288"/>
      <c r="EP49" s="288"/>
      <c r="EQ49" s="288"/>
      <c r="ES49" s="288">
        <f>EM49-1</f>
        <v>13</v>
      </c>
      <c r="ET49" s="288"/>
      <c r="EU49" s="288"/>
      <c r="EV49" s="288"/>
      <c r="EW49" s="288"/>
      <c r="EY49" s="288">
        <f>ES49-1</f>
        <v>12</v>
      </c>
      <c r="EZ49" s="288"/>
      <c r="FA49" s="288"/>
      <c r="FB49" s="288"/>
      <c r="FC49" s="288"/>
      <c r="FE49" s="288">
        <f>EY49-1</f>
        <v>11</v>
      </c>
      <c r="FF49" s="288"/>
      <c r="FG49" s="288"/>
      <c r="FH49" s="288"/>
      <c r="FI49" s="288"/>
      <c r="FK49" s="288">
        <f>FE49-1</f>
        <v>10</v>
      </c>
      <c r="FL49" s="288"/>
      <c r="FM49" s="288"/>
      <c r="FN49" s="288"/>
      <c r="FO49" s="288"/>
      <c r="FQ49" s="288">
        <f>FK49-1</f>
        <v>9</v>
      </c>
      <c r="FR49" s="288"/>
      <c r="FS49" s="288"/>
      <c r="FT49" s="288"/>
      <c r="FU49" s="288"/>
      <c r="FW49" s="288">
        <f>FQ49-1</f>
        <v>8</v>
      </c>
      <c r="FX49" s="288"/>
      <c r="FY49" s="288"/>
      <c r="FZ49" s="288"/>
      <c r="GA49" s="288"/>
      <c r="GC49" s="288">
        <f>FW49-1</f>
        <v>7</v>
      </c>
      <c r="GD49" s="288"/>
      <c r="GE49" s="288"/>
      <c r="GF49" s="288"/>
      <c r="GG49" s="288"/>
      <c r="GI49" s="288">
        <f>GC49-1</f>
        <v>6</v>
      </c>
      <c r="GJ49" s="288"/>
      <c r="GK49" s="288"/>
      <c r="GL49" s="288"/>
      <c r="GM49" s="288"/>
      <c r="HJ49" s="36">
        <f>HJ47+1</f>
        <v>22</v>
      </c>
      <c r="HK49" s="152" t="str">
        <f>IF(HE28=0,"",HE28)</f>
        <v/>
      </c>
      <c r="HL49" s="36" t="str">
        <f>IF(HF28=0,"",HF28)</f>
        <v/>
      </c>
      <c r="HM49" s="153" t="str">
        <f>IF(HG28=0,"",HG28)</f>
        <v/>
      </c>
      <c r="HQ49" s="159" t="str">
        <f t="shared" si="125"/>
        <v/>
      </c>
      <c r="HR49" s="160" t="str">
        <f t="shared" si="126"/>
        <v/>
      </c>
    </row>
    <row r="50" spans="12:226" x14ac:dyDescent="0.25">
      <c r="L50" s="36">
        <f t="shared" si="168"/>
        <v>6</v>
      </c>
      <c r="M50" s="152" t="str">
        <f t="shared" si="164"/>
        <v/>
      </c>
      <c r="N50" s="153" t="str">
        <f t="shared" si="165"/>
        <v/>
      </c>
      <c r="P50" s="242" t="str">
        <f t="shared" si="166"/>
        <v/>
      </c>
      <c r="Q50" s="243" t="str">
        <f t="shared" si="167"/>
        <v/>
      </c>
      <c r="AI50" s="288" t="str">
        <f>[1]List1!$I$12</f>
        <v>1. kolo</v>
      </c>
      <c r="AJ50" s="288"/>
      <c r="AL50" s="288" t="str">
        <f>[1]List1!$I$13</f>
        <v>2. kolo</v>
      </c>
      <c r="AM50" s="288"/>
      <c r="AO50" s="288" t="str">
        <f>[1]List1!$I$12</f>
        <v>1. kolo</v>
      </c>
      <c r="AP50" s="288"/>
      <c r="AR50" s="288" t="str">
        <f>[1]List1!$I$13</f>
        <v>2. kolo</v>
      </c>
      <c r="AS50" s="288"/>
      <c r="AU50" s="288" t="str">
        <f>[1]List1!$I$12</f>
        <v>1. kolo</v>
      </c>
      <c r="AV50" s="288"/>
      <c r="AX50" s="288" t="str">
        <f>[1]List1!$I$13</f>
        <v>2. kolo</v>
      </c>
      <c r="AY50" s="288"/>
      <c r="BA50" s="288" t="str">
        <f>[1]List1!$I$12</f>
        <v>1. kolo</v>
      </c>
      <c r="BB50" s="288"/>
      <c r="BD50" s="288" t="str">
        <f>[1]List1!$I$13</f>
        <v>2. kolo</v>
      </c>
      <c r="BE50" s="288"/>
      <c r="BG50" s="288" t="str">
        <f>[1]List1!$I$12</f>
        <v>1. kolo</v>
      </c>
      <c r="BH50" s="288"/>
      <c r="BI50" s="36"/>
      <c r="BJ50" s="288" t="str">
        <f>[1]List1!$I$13</f>
        <v>2. kolo</v>
      </c>
      <c r="BK50" s="288"/>
      <c r="BM50" s="288" t="str">
        <f>[1]List1!$I$12</f>
        <v>1. kolo</v>
      </c>
      <c r="BN50" s="288"/>
      <c r="BO50" s="36"/>
      <c r="BP50" s="288" t="str">
        <f>[1]List1!$I$13</f>
        <v>2. kolo</v>
      </c>
      <c r="BQ50" s="288"/>
      <c r="BS50" s="288" t="str">
        <f>[1]List1!$I$12</f>
        <v>1. kolo</v>
      </c>
      <c r="BT50" s="288"/>
      <c r="BV50" s="288" t="str">
        <f>[1]List1!$I$13</f>
        <v>2. kolo</v>
      </c>
      <c r="BW50" s="288"/>
      <c r="BY50" s="288" t="str">
        <f>[1]List1!$I$12</f>
        <v>1. kolo</v>
      </c>
      <c r="BZ50" s="288"/>
      <c r="CB50" s="288" t="str">
        <f>[1]List1!$I$13</f>
        <v>2. kolo</v>
      </c>
      <c r="CC50" s="288"/>
      <c r="CE50" s="288" t="str">
        <f>[1]List1!$I$12</f>
        <v>1. kolo</v>
      </c>
      <c r="CF50" s="288"/>
      <c r="CH50" s="288" t="str">
        <f>[1]List1!$I$13</f>
        <v>2. kolo</v>
      </c>
      <c r="CI50" s="288"/>
      <c r="CK50" s="288" t="str">
        <f>[1]List1!$I$12</f>
        <v>1. kolo</v>
      </c>
      <c r="CL50" s="288"/>
      <c r="CN50" s="288" t="str">
        <f>[1]List1!$I$13</f>
        <v>2. kolo</v>
      </c>
      <c r="CO50" s="288"/>
      <c r="CQ50" s="288" t="str">
        <f>[1]List1!$I$12</f>
        <v>1. kolo</v>
      </c>
      <c r="CR50" s="288"/>
      <c r="CT50" s="288" t="str">
        <f>[1]List1!$I$13</f>
        <v>2. kolo</v>
      </c>
      <c r="CU50" s="288"/>
      <c r="CW50" s="288" t="str">
        <f>[1]List1!$I$12</f>
        <v>1. kolo</v>
      </c>
      <c r="CX50" s="288"/>
      <c r="CZ50" s="288" t="str">
        <f>[1]List1!$I$13</f>
        <v>2. kolo</v>
      </c>
      <c r="DA50" s="288"/>
      <c r="DC50" s="288" t="str">
        <f>[1]List1!$I$12</f>
        <v>1. kolo</v>
      </c>
      <c r="DD50" s="288"/>
      <c r="DF50" s="288" t="str">
        <f>[1]List1!$I$13</f>
        <v>2. kolo</v>
      </c>
      <c r="DG50" s="288"/>
      <c r="DI50" s="288" t="str">
        <f>[1]List1!$I$12</f>
        <v>1. kolo</v>
      </c>
      <c r="DJ50" s="288"/>
      <c r="DL50" s="288" t="str">
        <f>[1]List1!$I$13</f>
        <v>2. kolo</v>
      </c>
      <c r="DM50" s="288"/>
      <c r="DO50" s="288" t="str">
        <f>[1]List1!$I$12</f>
        <v>1. kolo</v>
      </c>
      <c r="DP50" s="288"/>
      <c r="DR50" s="288" t="str">
        <f>[1]List1!$I$13</f>
        <v>2. kolo</v>
      </c>
      <c r="DS50" s="288"/>
      <c r="DU50" s="288" t="str">
        <f>[1]List1!$I$12</f>
        <v>1. kolo</v>
      </c>
      <c r="DV50" s="288"/>
      <c r="DX50" s="288" t="str">
        <f>[1]List1!$I$13</f>
        <v>2. kolo</v>
      </c>
      <c r="DY50" s="288"/>
      <c r="EA50" s="288" t="str">
        <f>[1]List1!$I$12</f>
        <v>1. kolo</v>
      </c>
      <c r="EB50" s="288"/>
      <c r="ED50" s="288" t="str">
        <f>[1]List1!$I$13</f>
        <v>2. kolo</v>
      </c>
      <c r="EE50" s="288"/>
      <c r="EG50" s="288" t="str">
        <f>[1]List1!$I$12</f>
        <v>1. kolo</v>
      </c>
      <c r="EH50" s="288"/>
      <c r="EJ50" s="288" t="str">
        <f>[1]List1!$I$13</f>
        <v>2. kolo</v>
      </c>
      <c r="EK50" s="288"/>
      <c r="EM50" s="288" t="str">
        <f>[1]List1!$I$12</f>
        <v>1. kolo</v>
      </c>
      <c r="EN50" s="288"/>
      <c r="EP50" s="288" t="str">
        <f>[1]List1!$I$13</f>
        <v>2. kolo</v>
      </c>
      <c r="EQ50" s="288"/>
      <c r="ES50" s="288" t="str">
        <f>[1]List1!$I$12</f>
        <v>1. kolo</v>
      </c>
      <c r="ET50" s="288"/>
      <c r="EV50" s="288" t="str">
        <f>[1]List1!$I$13</f>
        <v>2. kolo</v>
      </c>
      <c r="EW50" s="288"/>
      <c r="EY50" s="288" t="str">
        <f>[1]List1!$I$12</f>
        <v>1. kolo</v>
      </c>
      <c r="EZ50" s="288"/>
      <c r="FB50" s="288" t="str">
        <f>[1]List1!$I$13</f>
        <v>2. kolo</v>
      </c>
      <c r="FC50" s="288"/>
      <c r="FE50" s="288" t="str">
        <f>[1]List1!$I$12</f>
        <v>1. kolo</v>
      </c>
      <c r="FF50" s="288"/>
      <c r="FH50" s="288" t="str">
        <f>[1]List1!$I$13</f>
        <v>2. kolo</v>
      </c>
      <c r="FI50" s="288"/>
      <c r="FK50" s="288" t="str">
        <f>[1]List1!$I$12</f>
        <v>1. kolo</v>
      </c>
      <c r="FL50" s="288"/>
      <c r="FN50" s="288" t="str">
        <f>[1]List1!$I$13</f>
        <v>2. kolo</v>
      </c>
      <c r="FO50" s="288"/>
      <c r="FQ50" s="288" t="str">
        <f>[1]List1!$I$12</f>
        <v>1. kolo</v>
      </c>
      <c r="FR50" s="288"/>
      <c r="FT50" s="288" t="str">
        <f>[1]List1!$I$13</f>
        <v>2. kolo</v>
      </c>
      <c r="FU50" s="288"/>
      <c r="FW50" s="288" t="str">
        <f>[1]List1!$I$12</f>
        <v>1. kolo</v>
      </c>
      <c r="FX50" s="288"/>
      <c r="FZ50" s="288" t="str">
        <f>[1]List1!$I$13</f>
        <v>2. kolo</v>
      </c>
      <c r="GA50" s="288"/>
      <c r="GC50" s="288" t="str">
        <f>[1]List1!$I$12</f>
        <v>1. kolo</v>
      </c>
      <c r="GD50" s="288"/>
      <c r="GF50" s="288" t="str">
        <f>[1]List1!$I$13</f>
        <v>2. kolo</v>
      </c>
      <c r="GG50" s="288"/>
      <c r="GI50" s="288" t="str">
        <f>[1]List1!$I$12</f>
        <v>1. kolo</v>
      </c>
      <c r="GJ50" s="288"/>
      <c r="GL50" s="288" t="str">
        <f>[1]List1!$I$13</f>
        <v>2. kolo</v>
      </c>
      <c r="GM50" s="288"/>
      <c r="HK50" s="152"/>
      <c r="HM50" s="153"/>
      <c r="HQ50" s="159" t="str">
        <f t="shared" si="125"/>
        <v/>
      </c>
      <c r="HR50" s="160" t="str">
        <f t="shared" si="126"/>
        <v/>
      </c>
    </row>
    <row r="51" spans="12:226" x14ac:dyDescent="0.25">
      <c r="L51" s="36">
        <f t="shared" si="168"/>
        <v>7</v>
      </c>
      <c r="M51" s="152" t="str">
        <f t="shared" si="164"/>
        <v/>
      </c>
      <c r="N51" s="153" t="str">
        <f t="shared" si="165"/>
        <v/>
      </c>
      <c r="P51" s="242" t="str">
        <f t="shared" si="166"/>
        <v/>
      </c>
      <c r="Q51" s="243" t="str">
        <f t="shared" si="167"/>
        <v/>
      </c>
      <c r="AG51" s="36">
        <v>1</v>
      </c>
      <c r="AI51" s="36">
        <v>1</v>
      </c>
      <c r="AJ51" s="36">
        <v>2</v>
      </c>
      <c r="AL51" s="36">
        <v>1</v>
      </c>
      <c r="AM51" s="36">
        <v>3</v>
      </c>
      <c r="AO51" s="36">
        <v>1</v>
      </c>
      <c r="AP51" s="36">
        <v>2</v>
      </c>
      <c r="AR51" s="36">
        <v>1</v>
      </c>
      <c r="AS51" s="36">
        <v>3</v>
      </c>
      <c r="AU51" s="36">
        <v>1</v>
      </c>
      <c r="AV51" s="36">
        <v>2</v>
      </c>
      <c r="AX51" s="36">
        <v>15</v>
      </c>
      <c r="AY51" s="36">
        <v>1</v>
      </c>
      <c r="BA51" s="36">
        <v>1</v>
      </c>
      <c r="BB51" s="36">
        <v>2</v>
      </c>
      <c r="BD51" s="36">
        <v>15</v>
      </c>
      <c r="BE51" s="36">
        <v>1</v>
      </c>
      <c r="BG51" s="36">
        <v>1</v>
      </c>
      <c r="BH51" s="36">
        <v>2</v>
      </c>
      <c r="BJ51" s="36">
        <v>1</v>
      </c>
      <c r="BK51" s="36">
        <v>3</v>
      </c>
      <c r="BM51" s="36">
        <v>1</v>
      </c>
      <c r="BN51" s="36">
        <v>2</v>
      </c>
      <c r="BP51" s="36">
        <v>1</v>
      </c>
      <c r="BQ51" s="36">
        <v>3</v>
      </c>
      <c r="BS51" s="36">
        <v>1</v>
      </c>
      <c r="BT51" s="36">
        <v>2</v>
      </c>
      <c r="BV51" s="36">
        <v>13</v>
      </c>
      <c r="BW51" s="36">
        <v>1</v>
      </c>
      <c r="BY51" s="36">
        <v>1</v>
      </c>
      <c r="BZ51" s="36">
        <v>2</v>
      </c>
      <c r="CB51" s="36">
        <v>13</v>
      </c>
      <c r="CC51" s="36">
        <v>1</v>
      </c>
      <c r="CE51" s="36">
        <v>1</v>
      </c>
      <c r="CF51" s="36">
        <v>2</v>
      </c>
      <c r="CH51" s="36">
        <v>1</v>
      </c>
      <c r="CI51" s="36">
        <v>3</v>
      </c>
      <c r="CK51" s="36">
        <v>1</v>
      </c>
      <c r="CL51" s="36">
        <v>2</v>
      </c>
      <c r="CN51" s="36">
        <v>1</v>
      </c>
      <c r="CO51" s="36">
        <v>3</v>
      </c>
      <c r="CQ51" s="36">
        <v>1</v>
      </c>
      <c r="CR51" s="36">
        <v>2</v>
      </c>
      <c r="CT51" s="36">
        <v>11</v>
      </c>
      <c r="CU51" s="36">
        <v>1</v>
      </c>
      <c r="CW51" s="36">
        <v>1</v>
      </c>
      <c r="CX51" s="36">
        <v>2</v>
      </c>
      <c r="CZ51" s="36">
        <v>11</v>
      </c>
      <c r="DA51" s="36">
        <v>1</v>
      </c>
      <c r="DC51" s="36">
        <v>1</v>
      </c>
      <c r="DD51" s="36">
        <v>2</v>
      </c>
      <c r="DF51" s="36">
        <v>1</v>
      </c>
      <c r="DG51" s="36">
        <v>3</v>
      </c>
      <c r="DI51" s="36">
        <v>1</v>
      </c>
      <c r="DJ51" s="36">
        <v>2</v>
      </c>
      <c r="DL51" s="36">
        <v>1</v>
      </c>
      <c r="DM51" s="36">
        <v>3</v>
      </c>
      <c r="DO51" s="36">
        <v>1</v>
      </c>
      <c r="DP51" s="36">
        <v>2</v>
      </c>
      <c r="DR51" s="36">
        <v>9</v>
      </c>
      <c r="DS51" s="36">
        <v>1</v>
      </c>
      <c r="DU51" s="36">
        <v>1</v>
      </c>
      <c r="DV51" s="36">
        <v>2</v>
      </c>
      <c r="DX51" s="36">
        <v>9</v>
      </c>
      <c r="DY51" s="36">
        <v>1</v>
      </c>
      <c r="EA51" s="36">
        <v>1</v>
      </c>
      <c r="EB51" s="36">
        <v>2</v>
      </c>
      <c r="ED51" s="36">
        <v>1</v>
      </c>
      <c r="EE51" s="36">
        <v>3</v>
      </c>
      <c r="EG51" s="36">
        <v>1</v>
      </c>
      <c r="EH51" s="36">
        <v>2</v>
      </c>
      <c r="EJ51" s="36">
        <v>1</v>
      </c>
      <c r="EK51" s="36">
        <v>3</v>
      </c>
      <c r="EM51" s="36">
        <v>1</v>
      </c>
      <c r="EN51" s="36">
        <v>2</v>
      </c>
      <c r="EP51" s="36">
        <v>7</v>
      </c>
      <c r="EQ51" s="36">
        <v>1</v>
      </c>
      <c r="ES51" s="36">
        <v>1</v>
      </c>
      <c r="ET51" s="36">
        <v>2</v>
      </c>
      <c r="EV51" s="36">
        <v>7</v>
      </c>
      <c r="EW51" s="36">
        <v>1</v>
      </c>
      <c r="EY51" s="36">
        <v>1</v>
      </c>
      <c r="EZ51" s="36">
        <v>2</v>
      </c>
      <c r="FB51" s="36">
        <v>1</v>
      </c>
      <c r="FC51" s="36">
        <v>3</v>
      </c>
      <c r="FE51" s="36">
        <v>1</v>
      </c>
      <c r="FF51" s="36">
        <v>2</v>
      </c>
      <c r="FH51" s="36">
        <v>1</v>
      </c>
      <c r="FI51" s="36">
        <v>3</v>
      </c>
      <c r="FK51" s="36">
        <v>1</v>
      </c>
      <c r="FL51" s="36">
        <v>2</v>
      </c>
      <c r="FN51" s="36">
        <v>5</v>
      </c>
      <c r="FO51" s="36">
        <v>1</v>
      </c>
      <c r="FQ51" s="36">
        <v>1</v>
      </c>
      <c r="FR51" s="36">
        <v>2</v>
      </c>
      <c r="FT51" s="36">
        <v>5</v>
      </c>
      <c r="FU51" s="36">
        <v>1</v>
      </c>
      <c r="FW51" s="36">
        <v>1</v>
      </c>
      <c r="FX51" s="36">
        <v>2</v>
      </c>
      <c r="FZ51" s="36">
        <v>1</v>
      </c>
      <c r="GA51" s="36">
        <v>3</v>
      </c>
      <c r="GC51" s="36">
        <v>1</v>
      </c>
      <c r="GD51" s="36">
        <v>2</v>
      </c>
      <c r="GF51" s="36">
        <v>1</v>
      </c>
      <c r="GG51" s="36">
        <v>3</v>
      </c>
      <c r="GI51" s="83">
        <v>1</v>
      </c>
      <c r="GJ51" s="83">
        <v>2</v>
      </c>
      <c r="GK51" s="83"/>
      <c r="GL51" s="83">
        <v>3</v>
      </c>
      <c r="GM51" s="83">
        <v>1</v>
      </c>
      <c r="HJ51" s="36">
        <f>HJ49+1</f>
        <v>23</v>
      </c>
      <c r="HK51" s="152" t="str">
        <f>IF(HE29=0,"",HE29)</f>
        <v/>
      </c>
      <c r="HL51" s="36" t="str">
        <f>IF(HF29=0,"",HF29)</f>
        <v/>
      </c>
      <c r="HM51" s="153" t="str">
        <f>IF(HG29=0,"",HG29)</f>
        <v/>
      </c>
      <c r="HQ51" s="159" t="str">
        <f t="shared" si="125"/>
        <v/>
      </c>
      <c r="HR51" s="160" t="str">
        <f t="shared" si="126"/>
        <v/>
      </c>
    </row>
    <row r="52" spans="12:226" x14ac:dyDescent="0.25">
      <c r="L52" s="36">
        <f t="shared" si="168"/>
        <v>8</v>
      </c>
      <c r="M52" s="152" t="str">
        <f t="shared" si="164"/>
        <v/>
      </c>
      <c r="N52" s="153" t="str">
        <f t="shared" si="165"/>
        <v/>
      </c>
      <c r="P52" s="242" t="str">
        <f t="shared" si="166"/>
        <v/>
      </c>
      <c r="Q52" s="243" t="str">
        <f t="shared" si="167"/>
        <v/>
      </c>
      <c r="AG52" s="36">
        <v>2</v>
      </c>
      <c r="AI52" s="36">
        <v>3</v>
      </c>
      <c r="AJ52" s="36">
        <v>4</v>
      </c>
      <c r="AL52" s="36">
        <v>2</v>
      </c>
      <c r="AM52" s="36">
        <v>4</v>
      </c>
      <c r="AO52" s="36">
        <v>3</v>
      </c>
      <c r="AP52" s="36">
        <v>4</v>
      </c>
      <c r="AR52" s="36">
        <v>2</v>
      </c>
      <c r="AS52" s="36">
        <v>4</v>
      </c>
      <c r="AU52" s="36">
        <v>3</v>
      </c>
      <c r="AV52" s="36">
        <v>4</v>
      </c>
      <c r="AX52" s="36">
        <v>2</v>
      </c>
      <c r="AY52" s="36">
        <v>3</v>
      </c>
      <c r="BA52" s="36">
        <v>3</v>
      </c>
      <c r="BB52" s="36">
        <v>4</v>
      </c>
      <c r="BD52" s="36">
        <v>2</v>
      </c>
      <c r="BE52" s="36">
        <v>3</v>
      </c>
      <c r="BG52" s="36">
        <v>3</v>
      </c>
      <c r="BH52" s="36">
        <v>4</v>
      </c>
      <c r="BJ52" s="36">
        <v>2</v>
      </c>
      <c r="BK52" s="36">
        <v>4</v>
      </c>
      <c r="BM52" s="36">
        <v>3</v>
      </c>
      <c r="BN52" s="36">
        <v>4</v>
      </c>
      <c r="BP52" s="36">
        <v>2</v>
      </c>
      <c r="BQ52" s="36">
        <v>4</v>
      </c>
      <c r="BS52" s="36">
        <v>3</v>
      </c>
      <c r="BT52" s="36">
        <v>4</v>
      </c>
      <c r="BV52" s="36">
        <v>2</v>
      </c>
      <c r="BW52" s="36">
        <v>3</v>
      </c>
      <c r="BY52" s="36">
        <v>3</v>
      </c>
      <c r="BZ52" s="36">
        <v>4</v>
      </c>
      <c r="CB52" s="36">
        <v>2</v>
      </c>
      <c r="CC52" s="36">
        <v>3</v>
      </c>
      <c r="CE52" s="36">
        <v>3</v>
      </c>
      <c r="CF52" s="36">
        <v>4</v>
      </c>
      <c r="CH52" s="36">
        <v>2</v>
      </c>
      <c r="CI52" s="36">
        <v>4</v>
      </c>
      <c r="CK52" s="36">
        <v>3</v>
      </c>
      <c r="CL52" s="36">
        <v>4</v>
      </c>
      <c r="CN52" s="36">
        <v>2</v>
      </c>
      <c r="CO52" s="36">
        <v>4</v>
      </c>
      <c r="CQ52" s="36">
        <v>3</v>
      </c>
      <c r="CR52" s="36">
        <v>4</v>
      </c>
      <c r="CT52" s="36">
        <v>2</v>
      </c>
      <c r="CU52" s="36">
        <v>3</v>
      </c>
      <c r="CW52" s="36">
        <v>3</v>
      </c>
      <c r="CX52" s="36">
        <v>4</v>
      </c>
      <c r="CZ52" s="36">
        <v>2</v>
      </c>
      <c r="DA52" s="36">
        <v>3</v>
      </c>
      <c r="DC52" s="36">
        <v>3</v>
      </c>
      <c r="DD52" s="36">
        <v>4</v>
      </c>
      <c r="DF52" s="36">
        <v>2</v>
      </c>
      <c r="DG52" s="36">
        <v>4</v>
      </c>
      <c r="DI52" s="36">
        <v>3</v>
      </c>
      <c r="DJ52" s="36">
        <v>4</v>
      </c>
      <c r="DL52" s="36">
        <v>2</v>
      </c>
      <c r="DM52" s="36">
        <v>4</v>
      </c>
      <c r="DO52" s="36">
        <v>3</v>
      </c>
      <c r="DP52" s="36">
        <v>4</v>
      </c>
      <c r="DR52" s="36">
        <v>2</v>
      </c>
      <c r="DS52" s="36">
        <v>3</v>
      </c>
      <c r="DU52" s="36">
        <v>3</v>
      </c>
      <c r="DV52" s="36">
        <v>4</v>
      </c>
      <c r="DX52" s="36">
        <v>2</v>
      </c>
      <c r="DY52" s="36">
        <v>3</v>
      </c>
      <c r="EA52" s="36">
        <v>3</v>
      </c>
      <c r="EB52" s="36">
        <v>4</v>
      </c>
      <c r="ED52" s="36">
        <v>2</v>
      </c>
      <c r="EE52" s="36">
        <v>4</v>
      </c>
      <c r="EG52" s="36">
        <v>3</v>
      </c>
      <c r="EH52" s="36">
        <v>4</v>
      </c>
      <c r="EJ52" s="36">
        <v>2</v>
      </c>
      <c r="EK52" s="36">
        <v>4</v>
      </c>
      <c r="EM52" s="36">
        <v>3</v>
      </c>
      <c r="EN52" s="36">
        <v>4</v>
      </c>
      <c r="EP52" s="36">
        <v>2</v>
      </c>
      <c r="EQ52" s="36">
        <v>3</v>
      </c>
      <c r="ES52" s="36">
        <v>3</v>
      </c>
      <c r="ET52" s="36">
        <v>4</v>
      </c>
      <c r="EV52" s="36">
        <v>2</v>
      </c>
      <c r="EW52" s="36">
        <v>3</v>
      </c>
      <c r="EY52" s="36">
        <v>3</v>
      </c>
      <c r="EZ52" s="36">
        <v>4</v>
      </c>
      <c r="FB52" s="36">
        <v>2</v>
      </c>
      <c r="FC52" s="36">
        <v>5</v>
      </c>
      <c r="FE52" s="36">
        <v>3</v>
      </c>
      <c r="FF52" s="36">
        <v>4</v>
      </c>
      <c r="FH52" s="36">
        <v>2</v>
      </c>
      <c r="FI52" s="36">
        <v>5</v>
      </c>
      <c r="FK52" s="83">
        <v>3</v>
      </c>
      <c r="FL52" s="83">
        <v>4</v>
      </c>
      <c r="FM52" s="83"/>
      <c r="FN52" s="83">
        <v>2</v>
      </c>
      <c r="FO52" s="83">
        <v>3</v>
      </c>
      <c r="FQ52" s="83">
        <v>3</v>
      </c>
      <c r="FR52" s="83">
        <v>4</v>
      </c>
      <c r="FS52" s="83"/>
      <c r="FT52" s="83">
        <v>2</v>
      </c>
      <c r="FU52" s="83">
        <v>3</v>
      </c>
      <c r="FW52" s="83">
        <v>3</v>
      </c>
      <c r="FX52" s="83">
        <v>4</v>
      </c>
      <c r="FY52" s="83"/>
      <c r="FZ52" s="83">
        <v>2</v>
      </c>
      <c r="GA52" s="83">
        <v>4</v>
      </c>
      <c r="GC52" s="83">
        <v>3</v>
      </c>
      <c r="GD52" s="83">
        <v>4</v>
      </c>
      <c r="GE52" s="83"/>
      <c r="GF52" s="83">
        <v>2</v>
      </c>
      <c r="GG52" s="83">
        <v>4</v>
      </c>
      <c r="GI52" s="85">
        <v>4</v>
      </c>
      <c r="GJ52" s="85">
        <v>5</v>
      </c>
      <c r="GK52" s="85"/>
      <c r="GL52" s="85">
        <v>6</v>
      </c>
      <c r="GM52" s="85">
        <v>4</v>
      </c>
      <c r="HK52" s="152"/>
      <c r="HM52" s="153"/>
      <c r="HQ52" s="159" t="str">
        <f t="shared" si="125"/>
        <v/>
      </c>
      <c r="HR52" s="160" t="str">
        <f t="shared" si="126"/>
        <v/>
      </c>
    </row>
    <row r="53" spans="12:226" x14ac:dyDescent="0.25">
      <c r="L53" s="36">
        <f t="shared" si="168"/>
        <v>9</v>
      </c>
      <c r="M53" s="152" t="str">
        <f t="shared" si="164"/>
        <v/>
      </c>
      <c r="N53" s="153" t="str">
        <f t="shared" si="165"/>
        <v/>
      </c>
      <c r="P53" s="242" t="str">
        <f t="shared" si="166"/>
        <v/>
      </c>
      <c r="Q53" s="243" t="str">
        <f t="shared" si="167"/>
        <v/>
      </c>
      <c r="AG53" s="36">
        <v>3</v>
      </c>
      <c r="AI53" s="36">
        <v>5</v>
      </c>
      <c r="AJ53" s="36">
        <v>6</v>
      </c>
      <c r="AL53" s="36">
        <v>5</v>
      </c>
      <c r="AM53" s="36">
        <v>7</v>
      </c>
      <c r="AO53" s="36">
        <v>5</v>
      </c>
      <c r="AP53" s="36">
        <v>6</v>
      </c>
      <c r="AR53" s="36">
        <v>5</v>
      </c>
      <c r="AS53" s="36">
        <v>7</v>
      </c>
      <c r="AU53" s="36">
        <v>5</v>
      </c>
      <c r="AV53" s="36">
        <v>6</v>
      </c>
      <c r="AX53" s="36">
        <v>4</v>
      </c>
      <c r="AY53" s="36">
        <v>5</v>
      </c>
      <c r="BA53" s="36">
        <v>5</v>
      </c>
      <c r="BB53" s="36">
        <v>6</v>
      </c>
      <c r="BD53" s="36">
        <v>4</v>
      </c>
      <c r="BE53" s="36">
        <v>5</v>
      </c>
      <c r="BG53" s="36">
        <v>5</v>
      </c>
      <c r="BH53" s="36">
        <v>6</v>
      </c>
      <c r="BJ53" s="36">
        <v>5</v>
      </c>
      <c r="BK53" s="36">
        <v>7</v>
      </c>
      <c r="BM53" s="36">
        <v>5</v>
      </c>
      <c r="BN53" s="36">
        <v>6</v>
      </c>
      <c r="BP53" s="36">
        <v>5</v>
      </c>
      <c r="BQ53" s="36">
        <v>7</v>
      </c>
      <c r="BS53" s="36">
        <v>5</v>
      </c>
      <c r="BT53" s="36">
        <v>6</v>
      </c>
      <c r="BV53" s="36">
        <v>4</v>
      </c>
      <c r="BW53" s="36">
        <v>5</v>
      </c>
      <c r="BY53" s="36">
        <v>5</v>
      </c>
      <c r="BZ53" s="36">
        <v>6</v>
      </c>
      <c r="CB53" s="36">
        <v>4</v>
      </c>
      <c r="CC53" s="36">
        <v>5</v>
      </c>
      <c r="CE53" s="36">
        <v>5</v>
      </c>
      <c r="CF53" s="36">
        <v>6</v>
      </c>
      <c r="CH53" s="36">
        <v>5</v>
      </c>
      <c r="CI53" s="36">
        <v>7</v>
      </c>
      <c r="CK53" s="36">
        <v>5</v>
      </c>
      <c r="CL53" s="36">
        <v>6</v>
      </c>
      <c r="CN53" s="36">
        <v>5</v>
      </c>
      <c r="CO53" s="36">
        <v>7</v>
      </c>
      <c r="CQ53" s="36">
        <v>5</v>
      </c>
      <c r="CR53" s="36">
        <v>6</v>
      </c>
      <c r="CT53" s="36">
        <v>4</v>
      </c>
      <c r="CU53" s="36">
        <v>5</v>
      </c>
      <c r="CW53" s="36">
        <v>5</v>
      </c>
      <c r="CX53" s="36">
        <v>6</v>
      </c>
      <c r="CZ53" s="36">
        <v>4</v>
      </c>
      <c r="DA53" s="36">
        <v>5</v>
      </c>
      <c r="DC53" s="36">
        <v>5</v>
      </c>
      <c r="DD53" s="36">
        <v>6</v>
      </c>
      <c r="DF53" s="36">
        <v>5</v>
      </c>
      <c r="DG53" s="36">
        <v>7</v>
      </c>
      <c r="DI53" s="36">
        <v>5</v>
      </c>
      <c r="DJ53" s="36">
        <v>6</v>
      </c>
      <c r="DL53" s="36">
        <v>5</v>
      </c>
      <c r="DM53" s="36">
        <v>7</v>
      </c>
      <c r="DO53" s="36">
        <v>5</v>
      </c>
      <c r="DP53" s="36">
        <v>6</v>
      </c>
      <c r="DR53" s="36">
        <v>4</v>
      </c>
      <c r="DS53" s="36">
        <v>5</v>
      </c>
      <c r="DU53" s="36">
        <v>5</v>
      </c>
      <c r="DV53" s="36">
        <v>6</v>
      </c>
      <c r="DX53" s="36">
        <v>4</v>
      </c>
      <c r="DY53" s="36">
        <v>5</v>
      </c>
      <c r="EA53" s="36">
        <v>5</v>
      </c>
      <c r="EB53" s="36">
        <v>6</v>
      </c>
      <c r="ED53" s="36">
        <v>5</v>
      </c>
      <c r="EE53" s="36">
        <v>7</v>
      </c>
      <c r="EG53" s="36">
        <v>5</v>
      </c>
      <c r="EH53" s="36">
        <v>6</v>
      </c>
      <c r="EJ53" s="36">
        <v>5</v>
      </c>
      <c r="EK53" s="36">
        <v>7</v>
      </c>
      <c r="EM53" s="83">
        <v>5</v>
      </c>
      <c r="EN53" s="83">
        <v>6</v>
      </c>
      <c r="EO53" s="83"/>
      <c r="EP53" s="83">
        <v>4</v>
      </c>
      <c r="EQ53" s="83">
        <v>5</v>
      </c>
      <c r="ES53" s="83">
        <v>5</v>
      </c>
      <c r="ET53" s="83">
        <v>6</v>
      </c>
      <c r="EU53" s="83"/>
      <c r="EV53" s="83">
        <v>4</v>
      </c>
      <c r="EW53" s="83">
        <v>5</v>
      </c>
      <c r="EY53" s="83">
        <v>5</v>
      </c>
      <c r="EZ53" s="83">
        <v>6</v>
      </c>
      <c r="FA53" s="83"/>
      <c r="FB53" s="83">
        <v>4</v>
      </c>
      <c r="FC53" s="83">
        <v>6</v>
      </c>
      <c r="FE53" s="83">
        <v>5</v>
      </c>
      <c r="FF53" s="83">
        <v>6</v>
      </c>
      <c r="FG53" s="83"/>
      <c r="FH53" s="83">
        <v>4</v>
      </c>
      <c r="FI53" s="83">
        <v>6</v>
      </c>
      <c r="FK53" s="85">
        <v>6</v>
      </c>
      <c r="FL53" s="85">
        <v>7</v>
      </c>
      <c r="FM53" s="85"/>
      <c r="FN53" s="85">
        <v>10</v>
      </c>
      <c r="FO53" s="85">
        <v>6</v>
      </c>
      <c r="FQ53" s="85">
        <v>6</v>
      </c>
      <c r="FR53" s="85">
        <v>7</v>
      </c>
      <c r="FS53" s="85"/>
      <c r="FT53" s="85">
        <v>6</v>
      </c>
      <c r="FU53" s="85">
        <v>8</v>
      </c>
      <c r="FW53" s="85">
        <v>5</v>
      </c>
      <c r="FX53" s="85">
        <v>6</v>
      </c>
      <c r="FY53" s="85"/>
      <c r="FZ53" s="85">
        <v>5</v>
      </c>
      <c r="GA53" s="85">
        <v>7</v>
      </c>
      <c r="GC53" s="85">
        <v>5</v>
      </c>
      <c r="GD53" s="85">
        <v>6</v>
      </c>
      <c r="GE53" s="85"/>
      <c r="GF53" s="85">
        <v>7</v>
      </c>
      <c r="GG53" s="85">
        <v>5</v>
      </c>
      <c r="HJ53" s="36">
        <f>HJ51+1</f>
        <v>24</v>
      </c>
      <c r="HK53" s="152" t="str">
        <f>IF(HE30=0,"",HE30)</f>
        <v/>
      </c>
      <c r="HL53" s="36" t="str">
        <f>IF(HF30=0,"",HF30)</f>
        <v/>
      </c>
      <c r="HM53" s="153" t="str">
        <f>IF(HG30=0,"",HG30)</f>
        <v/>
      </c>
      <c r="HQ53" s="159" t="str">
        <f t="shared" si="125"/>
        <v/>
      </c>
      <c r="HR53" s="160" t="str">
        <f t="shared" si="126"/>
        <v/>
      </c>
    </row>
    <row r="54" spans="12:226" x14ac:dyDescent="0.25">
      <c r="L54" s="36">
        <f t="shared" si="168"/>
        <v>10</v>
      </c>
      <c r="M54" s="152" t="str">
        <f t="shared" si="164"/>
        <v/>
      </c>
      <c r="N54" s="153" t="str">
        <f t="shared" si="165"/>
        <v/>
      </c>
      <c r="P54" s="242" t="str">
        <f t="shared" si="166"/>
        <v/>
      </c>
      <c r="Q54" s="243" t="str">
        <f t="shared" si="167"/>
        <v/>
      </c>
      <c r="AG54" s="36">
        <v>4</v>
      </c>
      <c r="AI54" s="36">
        <v>7</v>
      </c>
      <c r="AJ54" s="36">
        <v>8</v>
      </c>
      <c r="AL54" s="36">
        <v>6</v>
      </c>
      <c r="AM54" s="36">
        <v>8</v>
      </c>
      <c r="AO54" s="36">
        <v>7</v>
      </c>
      <c r="AP54" s="36">
        <v>8</v>
      </c>
      <c r="AR54" s="36">
        <v>6</v>
      </c>
      <c r="AS54" s="36">
        <v>8</v>
      </c>
      <c r="AU54" s="36">
        <v>7</v>
      </c>
      <c r="AV54" s="36">
        <v>8</v>
      </c>
      <c r="AX54" s="36">
        <v>6</v>
      </c>
      <c r="AY54" s="36">
        <v>7</v>
      </c>
      <c r="BA54" s="36">
        <v>7</v>
      </c>
      <c r="BB54" s="36">
        <v>8</v>
      </c>
      <c r="BD54" s="36">
        <v>6</v>
      </c>
      <c r="BE54" s="36">
        <v>7</v>
      </c>
      <c r="BG54" s="36">
        <v>7</v>
      </c>
      <c r="BH54" s="36">
        <v>8</v>
      </c>
      <c r="BJ54" s="36">
        <v>6</v>
      </c>
      <c r="BK54" s="36">
        <v>8</v>
      </c>
      <c r="BM54" s="36">
        <v>7</v>
      </c>
      <c r="BN54" s="36">
        <v>8</v>
      </c>
      <c r="BP54" s="36">
        <v>6</v>
      </c>
      <c r="BQ54" s="36">
        <v>8</v>
      </c>
      <c r="BS54" s="36">
        <v>7</v>
      </c>
      <c r="BT54" s="36">
        <v>8</v>
      </c>
      <c r="BV54" s="36">
        <v>6</v>
      </c>
      <c r="BW54" s="36">
        <v>7</v>
      </c>
      <c r="BY54" s="36">
        <v>7</v>
      </c>
      <c r="BZ54" s="36">
        <v>8</v>
      </c>
      <c r="CB54" s="36">
        <v>6</v>
      </c>
      <c r="CC54" s="36">
        <v>7</v>
      </c>
      <c r="CE54" s="36">
        <v>7</v>
      </c>
      <c r="CF54" s="36">
        <v>8</v>
      </c>
      <c r="CH54" s="36">
        <v>8</v>
      </c>
      <c r="CI54" s="36">
        <v>9</v>
      </c>
      <c r="CK54" s="36">
        <v>7</v>
      </c>
      <c r="CL54" s="36">
        <v>8</v>
      </c>
      <c r="CN54" s="36">
        <v>8</v>
      </c>
      <c r="CO54" s="36">
        <v>9</v>
      </c>
      <c r="CQ54" s="36">
        <v>7</v>
      </c>
      <c r="CR54" s="36">
        <v>8</v>
      </c>
      <c r="CT54" s="36">
        <v>6</v>
      </c>
      <c r="CU54" s="36">
        <v>7</v>
      </c>
      <c r="CW54" s="36">
        <v>7</v>
      </c>
      <c r="CX54" s="36">
        <v>8</v>
      </c>
      <c r="CZ54" s="36">
        <v>6</v>
      </c>
      <c r="DA54" s="36">
        <v>7</v>
      </c>
      <c r="DC54" s="36">
        <v>7</v>
      </c>
      <c r="DD54" s="36">
        <v>8</v>
      </c>
      <c r="DF54" s="36">
        <v>6</v>
      </c>
      <c r="DG54" s="36">
        <v>9</v>
      </c>
      <c r="DI54" s="36">
        <v>7</v>
      </c>
      <c r="DJ54" s="36">
        <v>8</v>
      </c>
      <c r="DL54" s="36">
        <v>6</v>
      </c>
      <c r="DM54" s="36">
        <v>9</v>
      </c>
      <c r="DO54" s="83">
        <v>7</v>
      </c>
      <c r="DP54" s="83">
        <v>8</v>
      </c>
      <c r="DQ54" s="83"/>
      <c r="DR54" s="83">
        <v>6</v>
      </c>
      <c r="DS54" s="83">
        <v>7</v>
      </c>
      <c r="DU54" s="83">
        <v>7</v>
      </c>
      <c r="DV54" s="83">
        <v>8</v>
      </c>
      <c r="DW54" s="83"/>
      <c r="DX54" s="83">
        <v>6</v>
      </c>
      <c r="DY54" s="83">
        <v>7</v>
      </c>
      <c r="EA54" s="83">
        <v>7</v>
      </c>
      <c r="EB54" s="83">
        <v>8</v>
      </c>
      <c r="EC54" s="83"/>
      <c r="ED54" s="83">
        <v>6</v>
      </c>
      <c r="EE54" s="83">
        <v>8</v>
      </c>
      <c r="EG54" s="83">
        <v>7</v>
      </c>
      <c r="EH54" s="83">
        <v>8</v>
      </c>
      <c r="EI54" s="83"/>
      <c r="EJ54" s="83">
        <v>6</v>
      </c>
      <c r="EK54" s="83">
        <v>8</v>
      </c>
      <c r="EM54" s="85">
        <v>8</v>
      </c>
      <c r="EN54" s="85">
        <v>9</v>
      </c>
      <c r="EO54" s="85"/>
      <c r="EP54" s="85">
        <v>14</v>
      </c>
      <c r="EQ54" s="85">
        <v>8</v>
      </c>
      <c r="ES54" s="85">
        <v>8</v>
      </c>
      <c r="ET54" s="85">
        <v>9</v>
      </c>
      <c r="EU54" s="85"/>
      <c r="EV54" s="85">
        <v>8</v>
      </c>
      <c r="EW54" s="85">
        <v>10</v>
      </c>
      <c r="EY54" s="85">
        <v>7</v>
      </c>
      <c r="EZ54" s="85">
        <v>8</v>
      </c>
      <c r="FA54" s="85"/>
      <c r="FB54" s="85">
        <v>7</v>
      </c>
      <c r="FC54" s="85">
        <v>9</v>
      </c>
      <c r="FE54" s="85">
        <v>7</v>
      </c>
      <c r="FF54" s="85">
        <v>8</v>
      </c>
      <c r="FG54" s="85"/>
      <c r="FH54" s="85">
        <v>11</v>
      </c>
      <c r="FI54" s="85">
        <v>7</v>
      </c>
      <c r="FK54" s="36">
        <v>8</v>
      </c>
      <c r="FL54" s="36">
        <v>9</v>
      </c>
      <c r="FN54" s="36">
        <v>7</v>
      </c>
      <c r="FO54" s="36">
        <v>8</v>
      </c>
      <c r="FQ54" s="36">
        <v>8</v>
      </c>
      <c r="FR54" s="36">
        <v>9</v>
      </c>
      <c r="FT54" s="36">
        <v>7</v>
      </c>
      <c r="FU54" s="36">
        <v>9</v>
      </c>
      <c r="FW54" s="36">
        <v>7</v>
      </c>
      <c r="FX54" s="36">
        <v>8</v>
      </c>
      <c r="FZ54" s="36">
        <v>6</v>
      </c>
      <c r="GA54" s="36">
        <v>8</v>
      </c>
      <c r="HK54" s="152"/>
      <c r="HM54" s="153"/>
      <c r="HQ54" s="159" t="str">
        <f t="shared" si="125"/>
        <v/>
      </c>
      <c r="HR54" s="160" t="str">
        <f t="shared" si="126"/>
        <v/>
      </c>
    </row>
    <row r="55" spans="12:226" x14ac:dyDescent="0.25">
      <c r="L55" s="36">
        <f t="shared" si="168"/>
        <v>11</v>
      </c>
      <c r="M55" s="152" t="str">
        <f t="shared" si="164"/>
        <v/>
      </c>
      <c r="N55" s="153" t="str">
        <f t="shared" si="165"/>
        <v/>
      </c>
      <c r="P55" s="242" t="str">
        <f t="shared" si="166"/>
        <v/>
      </c>
      <c r="Q55" s="243" t="str">
        <f t="shared" si="167"/>
        <v/>
      </c>
      <c r="AG55" s="36">
        <v>5</v>
      </c>
      <c r="AI55" s="36">
        <v>9</v>
      </c>
      <c r="AJ55" s="36">
        <v>10</v>
      </c>
      <c r="AL55" s="36">
        <v>9</v>
      </c>
      <c r="AM55" s="36">
        <v>11</v>
      </c>
      <c r="AO55" s="36">
        <v>9</v>
      </c>
      <c r="AP55" s="36">
        <v>10</v>
      </c>
      <c r="AR55" s="36">
        <v>9</v>
      </c>
      <c r="AS55" s="36">
        <v>11</v>
      </c>
      <c r="AU55" s="36">
        <v>9</v>
      </c>
      <c r="AV55" s="36">
        <v>10</v>
      </c>
      <c r="AX55" s="36">
        <v>8</v>
      </c>
      <c r="AY55" s="36">
        <v>9</v>
      </c>
      <c r="BA55" s="36">
        <v>9</v>
      </c>
      <c r="BB55" s="36">
        <v>10</v>
      </c>
      <c r="BD55" s="36">
        <v>8</v>
      </c>
      <c r="BE55" s="36">
        <v>9</v>
      </c>
      <c r="BG55" s="36">
        <v>9</v>
      </c>
      <c r="BH55" s="36">
        <v>10</v>
      </c>
      <c r="BJ55" s="36">
        <v>9</v>
      </c>
      <c r="BK55" s="36">
        <v>11</v>
      </c>
      <c r="BM55" s="36">
        <v>9</v>
      </c>
      <c r="BN55" s="36">
        <v>10</v>
      </c>
      <c r="BP55" s="36">
        <v>9</v>
      </c>
      <c r="BQ55" s="36">
        <v>11</v>
      </c>
      <c r="BS55" s="36">
        <v>9</v>
      </c>
      <c r="BT55" s="36">
        <v>10</v>
      </c>
      <c r="BV55" s="36">
        <v>8</v>
      </c>
      <c r="BW55" s="36">
        <v>9</v>
      </c>
      <c r="BY55" s="36">
        <v>9</v>
      </c>
      <c r="BZ55" s="36">
        <v>10</v>
      </c>
      <c r="CB55" s="36">
        <v>8</v>
      </c>
      <c r="CC55" s="36">
        <v>9</v>
      </c>
      <c r="CE55" s="36">
        <v>9</v>
      </c>
      <c r="CF55" s="36">
        <v>10</v>
      </c>
      <c r="CH55" s="36">
        <v>9</v>
      </c>
      <c r="CI55" s="36">
        <v>11</v>
      </c>
      <c r="CK55" s="36">
        <v>9</v>
      </c>
      <c r="CL55" s="36">
        <v>10</v>
      </c>
      <c r="CN55" s="36">
        <v>9</v>
      </c>
      <c r="CO55" s="36">
        <v>11</v>
      </c>
      <c r="CQ55" s="83">
        <v>9</v>
      </c>
      <c r="CR55" s="83">
        <v>10</v>
      </c>
      <c r="CS55" s="83"/>
      <c r="CT55" s="83">
        <v>8</v>
      </c>
      <c r="CU55" s="83">
        <v>9</v>
      </c>
      <c r="CW55" s="83">
        <v>9</v>
      </c>
      <c r="CX55" s="83">
        <v>10</v>
      </c>
      <c r="CY55" s="83"/>
      <c r="CZ55" s="83">
        <v>8</v>
      </c>
      <c r="DA55" s="83">
        <v>9</v>
      </c>
      <c r="DC55" s="83">
        <v>9</v>
      </c>
      <c r="DD55" s="83">
        <v>10</v>
      </c>
      <c r="DE55" s="83"/>
      <c r="DF55" s="83">
        <v>8</v>
      </c>
      <c r="DG55" s="83">
        <v>10</v>
      </c>
      <c r="DI55" s="83">
        <v>9</v>
      </c>
      <c r="DJ55" s="83">
        <v>10</v>
      </c>
      <c r="DK55" s="83"/>
      <c r="DL55" s="83">
        <v>8</v>
      </c>
      <c r="DM55" s="83">
        <v>10</v>
      </c>
      <c r="DO55" s="85">
        <v>10</v>
      </c>
      <c r="DP55" s="85">
        <v>11</v>
      </c>
      <c r="DQ55" s="85"/>
      <c r="DR55" s="85">
        <v>18</v>
      </c>
      <c r="DS55" s="85">
        <v>10</v>
      </c>
      <c r="DU55" s="85">
        <v>10</v>
      </c>
      <c r="DV55" s="85">
        <v>11</v>
      </c>
      <c r="DW55" s="85"/>
      <c r="DX55" s="85">
        <v>10</v>
      </c>
      <c r="DY55" s="85">
        <v>12</v>
      </c>
      <c r="EA55" s="85">
        <v>9</v>
      </c>
      <c r="EB55" s="85">
        <v>10</v>
      </c>
      <c r="EC55" s="85"/>
      <c r="ED55" s="85">
        <v>9</v>
      </c>
      <c r="EE55" s="85">
        <v>11</v>
      </c>
      <c r="EG55" s="85">
        <v>9</v>
      </c>
      <c r="EH55" s="85">
        <v>10</v>
      </c>
      <c r="EI55" s="85"/>
      <c r="EJ55" s="85">
        <v>15</v>
      </c>
      <c r="EK55" s="85">
        <v>9</v>
      </c>
      <c r="EM55" s="36">
        <v>10</v>
      </c>
      <c r="EN55" s="36">
        <v>11</v>
      </c>
      <c r="EP55" s="36">
        <v>9</v>
      </c>
      <c r="EQ55" s="36">
        <v>10</v>
      </c>
      <c r="ES55" s="36">
        <v>10</v>
      </c>
      <c r="ET55" s="36">
        <v>11</v>
      </c>
      <c r="EV55" s="36">
        <v>9</v>
      </c>
      <c r="EW55" s="36">
        <v>12</v>
      </c>
      <c r="EY55" s="36">
        <v>9</v>
      </c>
      <c r="EZ55" s="36">
        <v>10</v>
      </c>
      <c r="FB55" s="36">
        <v>8</v>
      </c>
      <c r="FC55" s="36">
        <v>11</v>
      </c>
      <c r="FE55" s="36">
        <v>9</v>
      </c>
      <c r="FF55" s="36">
        <v>10</v>
      </c>
      <c r="FH55" s="36">
        <v>8</v>
      </c>
      <c r="FI55" s="36">
        <v>9</v>
      </c>
      <c r="HJ55" s="36">
        <f>HJ53+1</f>
        <v>25</v>
      </c>
      <c r="HK55" s="152" t="str">
        <f>IF(HE31=0,"",HE31)</f>
        <v/>
      </c>
      <c r="HL55" s="36" t="str">
        <f>IF(HF31=0,"",HF31)</f>
        <v/>
      </c>
      <c r="HM55" s="153" t="str">
        <f>IF(HG31=0,"",HG31)</f>
        <v/>
      </c>
      <c r="HQ55" s="159" t="str">
        <f>IF(HK55="","",(IF((INDEX($D$7:$D$38,HK55))="","",(INDEX($D$7:$D$38,HK55)))))</f>
        <v/>
      </c>
      <c r="HR55" s="160" t="str">
        <f>IF(HK55="","",(IF((INDEX($E$7:$E$38,HK55))="","",(INDEX($E$7:$E$38,HK55)))))</f>
        <v/>
      </c>
    </row>
    <row r="56" spans="12:226" x14ac:dyDescent="0.25">
      <c r="L56" s="36">
        <f t="shared" si="168"/>
        <v>12</v>
      </c>
      <c r="M56" s="152" t="str">
        <f t="shared" si="164"/>
        <v/>
      </c>
      <c r="N56" s="153" t="str">
        <f t="shared" si="165"/>
        <v/>
      </c>
      <c r="P56" s="242" t="str">
        <f t="shared" si="166"/>
        <v/>
      </c>
      <c r="Q56" s="243" t="str">
        <f t="shared" si="167"/>
        <v/>
      </c>
      <c r="AG56" s="36">
        <v>6</v>
      </c>
      <c r="AI56" s="36">
        <v>11</v>
      </c>
      <c r="AJ56" s="36">
        <v>12</v>
      </c>
      <c r="AL56" s="36">
        <v>10</v>
      </c>
      <c r="AM56" s="36">
        <v>12</v>
      </c>
      <c r="AO56" s="36">
        <v>11</v>
      </c>
      <c r="AP56" s="36">
        <v>12</v>
      </c>
      <c r="AR56" s="36">
        <v>10</v>
      </c>
      <c r="AS56" s="36">
        <v>12</v>
      </c>
      <c r="AU56" s="36">
        <v>11</v>
      </c>
      <c r="AV56" s="36">
        <v>12</v>
      </c>
      <c r="AX56" s="36">
        <v>10</v>
      </c>
      <c r="AY56" s="36">
        <v>11</v>
      </c>
      <c r="BA56" s="36">
        <v>11</v>
      </c>
      <c r="BB56" s="36">
        <v>12</v>
      </c>
      <c r="BD56" s="36">
        <v>10</v>
      </c>
      <c r="BE56" s="36">
        <v>11</v>
      </c>
      <c r="BG56" s="36">
        <v>11</v>
      </c>
      <c r="BH56" s="36">
        <v>12</v>
      </c>
      <c r="BJ56" s="36">
        <v>10</v>
      </c>
      <c r="BK56" s="36">
        <v>13</v>
      </c>
      <c r="BM56" s="36">
        <v>11</v>
      </c>
      <c r="BN56" s="36">
        <v>12</v>
      </c>
      <c r="BP56" s="36">
        <v>10</v>
      </c>
      <c r="BQ56" s="36">
        <v>13</v>
      </c>
      <c r="BS56" s="83">
        <v>11</v>
      </c>
      <c r="BT56" s="83">
        <v>12</v>
      </c>
      <c r="BU56" s="83"/>
      <c r="BV56" s="83">
        <v>10</v>
      </c>
      <c r="BW56" s="83">
        <v>11</v>
      </c>
      <c r="BY56" s="83">
        <v>11</v>
      </c>
      <c r="BZ56" s="83">
        <v>12</v>
      </c>
      <c r="CA56" s="83"/>
      <c r="CB56" s="83">
        <v>10</v>
      </c>
      <c r="CC56" s="83">
        <v>11</v>
      </c>
      <c r="CE56" s="83">
        <v>11</v>
      </c>
      <c r="CF56" s="83">
        <v>12</v>
      </c>
      <c r="CG56" s="83"/>
      <c r="CH56" s="83">
        <v>10</v>
      </c>
      <c r="CI56" s="83">
        <v>12</v>
      </c>
      <c r="CK56" s="83">
        <v>11</v>
      </c>
      <c r="CL56" s="83">
        <v>12</v>
      </c>
      <c r="CM56" s="83"/>
      <c r="CN56" s="83">
        <v>10</v>
      </c>
      <c r="CO56" s="83">
        <v>12</v>
      </c>
      <c r="CQ56" s="85">
        <v>12</v>
      </c>
      <c r="CR56" s="85">
        <v>13</v>
      </c>
      <c r="CS56" s="85"/>
      <c r="CT56" s="85">
        <v>22</v>
      </c>
      <c r="CU56" s="85">
        <v>12</v>
      </c>
      <c r="CW56" s="85">
        <v>12</v>
      </c>
      <c r="CX56" s="85">
        <v>13</v>
      </c>
      <c r="CY56" s="85"/>
      <c r="CZ56" s="85">
        <v>12</v>
      </c>
      <c r="DA56" s="85">
        <v>14</v>
      </c>
      <c r="DC56" s="85">
        <v>11</v>
      </c>
      <c r="DD56" s="85">
        <v>12</v>
      </c>
      <c r="DE56" s="85"/>
      <c r="DF56" s="85">
        <v>11</v>
      </c>
      <c r="DG56" s="85">
        <v>13</v>
      </c>
      <c r="DI56" s="85">
        <v>11</v>
      </c>
      <c r="DJ56" s="85">
        <v>12</v>
      </c>
      <c r="DK56" s="85"/>
      <c r="DL56" s="85">
        <v>19</v>
      </c>
      <c r="DM56" s="85">
        <v>11</v>
      </c>
      <c r="DO56" s="36">
        <v>12</v>
      </c>
      <c r="DP56" s="36">
        <v>13</v>
      </c>
      <c r="DR56" s="36">
        <v>11</v>
      </c>
      <c r="DS56" s="36">
        <v>12</v>
      </c>
      <c r="DU56" s="36">
        <v>12</v>
      </c>
      <c r="DV56" s="36">
        <v>13</v>
      </c>
      <c r="DX56" s="36">
        <v>11</v>
      </c>
      <c r="DY56" s="36">
        <v>13</v>
      </c>
      <c r="EA56" s="36">
        <v>11</v>
      </c>
      <c r="EB56" s="36">
        <v>12</v>
      </c>
      <c r="ED56" s="36">
        <v>10</v>
      </c>
      <c r="EE56" s="36">
        <v>12</v>
      </c>
      <c r="EG56" s="36">
        <v>11</v>
      </c>
      <c r="EH56" s="36">
        <v>12</v>
      </c>
      <c r="EJ56" s="36">
        <v>10</v>
      </c>
      <c r="EK56" s="36">
        <v>11</v>
      </c>
      <c r="EM56" s="36">
        <v>12</v>
      </c>
      <c r="EN56" s="36">
        <v>13</v>
      </c>
      <c r="EP56" s="36">
        <v>11</v>
      </c>
      <c r="EQ56" s="36">
        <v>12</v>
      </c>
      <c r="ES56" s="36">
        <v>12</v>
      </c>
      <c r="ET56" s="36">
        <v>13</v>
      </c>
      <c r="EV56" s="36">
        <v>11</v>
      </c>
      <c r="EW56" s="36">
        <v>13</v>
      </c>
      <c r="EY56" s="36">
        <v>11</v>
      </c>
      <c r="EZ56" s="36">
        <v>12</v>
      </c>
      <c r="FB56" s="36">
        <v>10</v>
      </c>
      <c r="FC56" s="36">
        <v>12</v>
      </c>
      <c r="HK56" s="152"/>
      <c r="HM56" s="153"/>
      <c r="HQ56" s="159" t="str">
        <f t="shared" ref="HQ56:HQ70" si="169">IF(HK56="","",(IF((INDEX($D$7:$D$38,HK56))="","",(INDEX($D$7:$D$38,HK56)))))</f>
        <v/>
      </c>
      <c r="HR56" s="160" t="str">
        <f t="shared" ref="HR56:HR70" si="170">IF(HK56="","",(IF((INDEX($E$7:$E$38,HK56))="","",(INDEX($E$7:$E$38,HK56)))))</f>
        <v/>
      </c>
    </row>
    <row r="57" spans="12:226" x14ac:dyDescent="0.25">
      <c r="L57" s="36">
        <f t="shared" si="168"/>
        <v>13</v>
      </c>
      <c r="M57" s="152" t="str">
        <f t="shared" si="164"/>
        <v/>
      </c>
      <c r="N57" s="153" t="str">
        <f t="shared" si="165"/>
        <v/>
      </c>
      <c r="P57" s="242" t="str">
        <f t="shared" si="166"/>
        <v/>
      </c>
      <c r="Q57" s="243" t="str">
        <f t="shared" si="167"/>
        <v/>
      </c>
      <c r="AG57" s="36">
        <v>7</v>
      </c>
      <c r="AI57" s="83">
        <v>13</v>
      </c>
      <c r="AJ57" s="83">
        <v>14</v>
      </c>
      <c r="AK57" s="83"/>
      <c r="AL57" s="83">
        <v>13</v>
      </c>
      <c r="AM57" s="83">
        <v>15</v>
      </c>
      <c r="AO57" s="83">
        <v>13</v>
      </c>
      <c r="AP57" s="83">
        <v>14</v>
      </c>
      <c r="AQ57" s="83"/>
      <c r="AR57" s="83">
        <v>13</v>
      </c>
      <c r="AS57" s="83">
        <v>15</v>
      </c>
      <c r="AU57" s="83">
        <v>13</v>
      </c>
      <c r="AV57" s="83">
        <v>14</v>
      </c>
      <c r="AW57" s="83"/>
      <c r="AX57" s="83">
        <v>12</v>
      </c>
      <c r="AY57" s="83">
        <v>13</v>
      </c>
      <c r="BA57" s="83">
        <v>13</v>
      </c>
      <c r="BB57" s="83">
        <v>14</v>
      </c>
      <c r="BC57" s="83"/>
      <c r="BD57" s="83">
        <v>12</v>
      </c>
      <c r="BE57" s="83">
        <v>13</v>
      </c>
      <c r="BG57" s="83">
        <v>13</v>
      </c>
      <c r="BH57" s="83">
        <v>14</v>
      </c>
      <c r="BI57" s="83"/>
      <c r="BJ57" s="83">
        <v>12</v>
      </c>
      <c r="BK57" s="83">
        <v>14</v>
      </c>
      <c r="BM57" s="83">
        <v>13</v>
      </c>
      <c r="BN57" s="83">
        <v>14</v>
      </c>
      <c r="BO57" s="83"/>
      <c r="BP57" s="83">
        <v>12</v>
      </c>
      <c r="BQ57" s="83">
        <v>14</v>
      </c>
      <c r="BS57" s="85">
        <v>14</v>
      </c>
      <c r="BT57" s="85">
        <v>15</v>
      </c>
      <c r="BU57" s="85"/>
      <c r="BV57" s="85">
        <v>26</v>
      </c>
      <c r="BW57" s="85">
        <v>14</v>
      </c>
      <c r="BY57" s="85">
        <v>14</v>
      </c>
      <c r="BZ57" s="85">
        <v>15</v>
      </c>
      <c r="CA57" s="85"/>
      <c r="CB57" s="85">
        <v>14</v>
      </c>
      <c r="CC57" s="85">
        <v>16</v>
      </c>
      <c r="CE57" s="85">
        <v>13</v>
      </c>
      <c r="CF57" s="85">
        <v>14</v>
      </c>
      <c r="CG57" s="85"/>
      <c r="CH57" s="85">
        <v>13</v>
      </c>
      <c r="CI57" s="85">
        <v>15</v>
      </c>
      <c r="CK57" s="85">
        <v>13</v>
      </c>
      <c r="CL57" s="85">
        <v>14</v>
      </c>
      <c r="CM57" s="85"/>
      <c r="CN57" s="85">
        <v>23</v>
      </c>
      <c r="CO57" s="85">
        <v>13</v>
      </c>
      <c r="CQ57" s="36">
        <v>14</v>
      </c>
      <c r="CR57" s="36">
        <v>15</v>
      </c>
      <c r="CT57" s="36">
        <v>13</v>
      </c>
      <c r="CU57" s="36">
        <v>14</v>
      </c>
      <c r="CW57" s="36">
        <v>14</v>
      </c>
      <c r="CX57" s="36">
        <v>15</v>
      </c>
      <c r="CZ57" s="36">
        <v>13</v>
      </c>
      <c r="DA57" s="36">
        <v>15</v>
      </c>
      <c r="DC57" s="36">
        <v>13</v>
      </c>
      <c r="DD57" s="36">
        <v>14</v>
      </c>
      <c r="DF57" s="36">
        <v>12</v>
      </c>
      <c r="DG57" s="36">
        <v>14</v>
      </c>
      <c r="DI57" s="36">
        <v>13</v>
      </c>
      <c r="DJ57" s="36">
        <v>14</v>
      </c>
      <c r="DL57" s="36">
        <v>12</v>
      </c>
      <c r="DM57" s="36">
        <v>13</v>
      </c>
      <c r="DO57" s="36">
        <v>14</v>
      </c>
      <c r="DP57" s="36">
        <v>15</v>
      </c>
      <c r="DR57" s="36">
        <v>13</v>
      </c>
      <c r="DS57" s="36">
        <v>14</v>
      </c>
      <c r="DU57" s="36">
        <v>14</v>
      </c>
      <c r="DV57" s="36">
        <v>15</v>
      </c>
      <c r="DX57" s="36">
        <v>14</v>
      </c>
      <c r="DY57" s="36">
        <v>16</v>
      </c>
      <c r="EA57" s="36">
        <v>13</v>
      </c>
      <c r="EB57" s="36">
        <v>14</v>
      </c>
      <c r="ED57" s="36">
        <v>13</v>
      </c>
      <c r="EE57" s="36">
        <v>15</v>
      </c>
      <c r="EG57" s="36">
        <v>13</v>
      </c>
      <c r="EH57" s="36">
        <v>14</v>
      </c>
      <c r="EJ57" s="36">
        <v>12</v>
      </c>
      <c r="EK57" s="36">
        <v>13</v>
      </c>
      <c r="HJ57" s="36">
        <f>HJ55+1</f>
        <v>26</v>
      </c>
      <c r="HK57" s="152" t="str">
        <f>IF(HE32=0,"",HE32)</f>
        <v/>
      </c>
      <c r="HL57" s="36" t="str">
        <f>IF(HF32=0,"",HF32)</f>
        <v/>
      </c>
      <c r="HM57" s="153" t="str">
        <f>IF(HG32=0,"",HG32)</f>
        <v/>
      </c>
      <c r="HQ57" s="159" t="str">
        <f t="shared" si="169"/>
        <v/>
      </c>
      <c r="HR57" s="160" t="str">
        <f t="shared" si="170"/>
        <v/>
      </c>
    </row>
    <row r="58" spans="12:226" x14ac:dyDescent="0.25">
      <c r="L58" s="36">
        <f t="shared" si="168"/>
        <v>14</v>
      </c>
      <c r="M58" s="152" t="str">
        <f t="shared" si="164"/>
        <v/>
      </c>
      <c r="N58" s="153" t="str">
        <f t="shared" si="165"/>
        <v/>
      </c>
      <c r="P58" s="242" t="str">
        <f t="shared" si="166"/>
        <v/>
      </c>
      <c r="Q58" s="243" t="str">
        <f t="shared" si="167"/>
        <v/>
      </c>
      <c r="AG58" s="36">
        <v>8</v>
      </c>
      <c r="AI58" s="85">
        <v>15</v>
      </c>
      <c r="AJ58" s="85">
        <v>16</v>
      </c>
      <c r="AK58" s="85"/>
      <c r="AL58" s="85">
        <v>14</v>
      </c>
      <c r="AM58" s="85">
        <v>16</v>
      </c>
      <c r="AO58" s="85">
        <v>15</v>
      </c>
      <c r="AP58" s="85">
        <v>16</v>
      </c>
      <c r="AQ58" s="85"/>
      <c r="AR58" s="85">
        <v>14</v>
      </c>
      <c r="AS58" s="85">
        <v>16</v>
      </c>
      <c r="AU58" s="85">
        <v>16</v>
      </c>
      <c r="AV58" s="85">
        <v>17</v>
      </c>
      <c r="AW58" s="85"/>
      <c r="AX58" s="85">
        <v>30</v>
      </c>
      <c r="AY58" s="85">
        <v>16</v>
      </c>
      <c r="BA58" s="85">
        <v>16</v>
      </c>
      <c r="BB58" s="85">
        <v>17</v>
      </c>
      <c r="BC58" s="85"/>
      <c r="BD58" s="85">
        <v>16</v>
      </c>
      <c r="BE58" s="85">
        <v>18</v>
      </c>
      <c r="BG58" s="85">
        <v>15</v>
      </c>
      <c r="BH58" s="85">
        <v>16</v>
      </c>
      <c r="BI58" s="85"/>
      <c r="BJ58" s="85">
        <v>15</v>
      </c>
      <c r="BK58" s="85">
        <v>17</v>
      </c>
      <c r="BM58" s="85">
        <v>15</v>
      </c>
      <c r="BN58" s="85">
        <v>16</v>
      </c>
      <c r="BO58" s="85"/>
      <c r="BP58" s="85">
        <v>27</v>
      </c>
      <c r="BQ58" s="85">
        <v>15</v>
      </c>
      <c r="BS58" s="36">
        <v>16</v>
      </c>
      <c r="BT58" s="36">
        <v>17</v>
      </c>
      <c r="BV58" s="36">
        <v>15</v>
      </c>
      <c r="BW58" s="36">
        <v>16</v>
      </c>
      <c r="BY58" s="36">
        <v>16</v>
      </c>
      <c r="BZ58" s="36">
        <v>17</v>
      </c>
      <c r="CB58" s="36">
        <v>15</v>
      </c>
      <c r="CC58" s="36">
        <v>17</v>
      </c>
      <c r="CE58" s="36">
        <v>15</v>
      </c>
      <c r="CF58" s="36">
        <v>16</v>
      </c>
      <c r="CH58" s="36">
        <v>14</v>
      </c>
      <c r="CI58" s="36">
        <v>16</v>
      </c>
      <c r="CK58" s="36">
        <v>15</v>
      </c>
      <c r="CL58" s="36">
        <v>16</v>
      </c>
      <c r="CN58" s="36">
        <v>14</v>
      </c>
      <c r="CO58" s="36">
        <v>15</v>
      </c>
      <c r="CQ58" s="36">
        <v>16</v>
      </c>
      <c r="CR58" s="36">
        <v>17</v>
      </c>
      <c r="CT58" s="36">
        <v>15</v>
      </c>
      <c r="CU58" s="36">
        <v>16</v>
      </c>
      <c r="CW58" s="36">
        <v>16</v>
      </c>
      <c r="CX58" s="36">
        <v>17</v>
      </c>
      <c r="CZ58" s="36">
        <v>16</v>
      </c>
      <c r="DA58" s="36">
        <v>18</v>
      </c>
      <c r="DC58" s="36">
        <v>15</v>
      </c>
      <c r="DD58" s="36">
        <v>16</v>
      </c>
      <c r="DF58" s="36">
        <v>15</v>
      </c>
      <c r="DG58" s="36">
        <v>17</v>
      </c>
      <c r="DI58" s="36">
        <v>15</v>
      </c>
      <c r="DJ58" s="36">
        <v>16</v>
      </c>
      <c r="DL58" s="36">
        <v>14</v>
      </c>
      <c r="DM58" s="36">
        <v>15</v>
      </c>
      <c r="DO58" s="36">
        <v>16</v>
      </c>
      <c r="DP58" s="36">
        <v>17</v>
      </c>
      <c r="DR58" s="36">
        <v>15</v>
      </c>
      <c r="DS58" s="36">
        <v>16</v>
      </c>
      <c r="DU58" s="36">
        <v>16</v>
      </c>
      <c r="DV58" s="36">
        <v>17</v>
      </c>
      <c r="DX58" s="36">
        <v>17</v>
      </c>
      <c r="DY58" s="36">
        <v>18</v>
      </c>
      <c r="EA58" s="36">
        <v>15</v>
      </c>
      <c r="EB58" s="36">
        <v>16</v>
      </c>
      <c r="ED58" s="36">
        <v>14</v>
      </c>
      <c r="EE58" s="36">
        <v>16</v>
      </c>
      <c r="HK58" s="152"/>
      <c r="HM58" s="153"/>
      <c r="HQ58" s="159" t="str">
        <f t="shared" si="169"/>
        <v/>
      </c>
      <c r="HR58" s="160" t="str">
        <f t="shared" si="170"/>
        <v/>
      </c>
    </row>
    <row r="59" spans="12:226" x14ac:dyDescent="0.25">
      <c r="L59" s="36">
        <f t="shared" si="168"/>
        <v>15</v>
      </c>
      <c r="M59" s="152" t="str">
        <f t="shared" si="164"/>
        <v/>
      </c>
      <c r="N59" s="153" t="str">
        <f t="shared" si="165"/>
        <v/>
      </c>
      <c r="P59" s="242" t="str">
        <f t="shared" si="166"/>
        <v/>
      </c>
      <c r="Q59" s="243" t="str">
        <f t="shared" si="167"/>
        <v/>
      </c>
      <c r="AG59" s="36">
        <v>9</v>
      </c>
      <c r="AI59" s="36">
        <v>17</v>
      </c>
      <c r="AJ59" s="36">
        <v>18</v>
      </c>
      <c r="AL59" s="36">
        <v>17</v>
      </c>
      <c r="AM59" s="36">
        <v>19</v>
      </c>
      <c r="AO59" s="36">
        <v>17</v>
      </c>
      <c r="AP59" s="36">
        <v>18</v>
      </c>
      <c r="AR59" s="36">
        <v>31</v>
      </c>
      <c r="AS59" s="36">
        <v>17</v>
      </c>
      <c r="AU59" s="36">
        <v>18</v>
      </c>
      <c r="AV59" s="36">
        <v>19</v>
      </c>
      <c r="AX59" s="36">
        <v>17</v>
      </c>
      <c r="AY59" s="36">
        <v>18</v>
      </c>
      <c r="BA59" s="36">
        <v>18</v>
      </c>
      <c r="BB59" s="36">
        <v>19</v>
      </c>
      <c r="BD59" s="36">
        <v>17</v>
      </c>
      <c r="BE59" s="36">
        <v>19</v>
      </c>
      <c r="BG59" s="36">
        <v>17</v>
      </c>
      <c r="BH59" s="36">
        <v>18</v>
      </c>
      <c r="BJ59" s="36">
        <v>16</v>
      </c>
      <c r="BK59" s="36">
        <v>18</v>
      </c>
      <c r="BM59" s="36">
        <v>17</v>
      </c>
      <c r="BN59" s="36">
        <v>18</v>
      </c>
      <c r="BP59" s="36">
        <v>16</v>
      </c>
      <c r="BQ59" s="36">
        <v>17</v>
      </c>
      <c r="BS59" s="36">
        <v>18</v>
      </c>
      <c r="BT59" s="36">
        <v>19</v>
      </c>
      <c r="BV59" s="36">
        <v>17</v>
      </c>
      <c r="BW59" s="36">
        <v>18</v>
      </c>
      <c r="BY59" s="36">
        <v>18</v>
      </c>
      <c r="BZ59" s="36">
        <v>19</v>
      </c>
      <c r="CB59" s="36">
        <v>18</v>
      </c>
      <c r="CC59" s="36">
        <v>20</v>
      </c>
      <c r="CE59" s="36">
        <v>17</v>
      </c>
      <c r="CF59" s="36">
        <v>18</v>
      </c>
      <c r="CH59" s="36">
        <v>17</v>
      </c>
      <c r="CI59" s="36">
        <v>19</v>
      </c>
      <c r="CK59" s="36">
        <v>17</v>
      </c>
      <c r="CL59" s="36">
        <v>18</v>
      </c>
      <c r="CN59" s="36">
        <v>16</v>
      </c>
      <c r="CO59" s="36">
        <v>17</v>
      </c>
      <c r="CQ59" s="36">
        <v>18</v>
      </c>
      <c r="CR59" s="36">
        <v>19</v>
      </c>
      <c r="CT59" s="36">
        <v>17</v>
      </c>
      <c r="CU59" s="36">
        <v>18</v>
      </c>
      <c r="CW59" s="36">
        <v>18</v>
      </c>
      <c r="CX59" s="36">
        <v>19</v>
      </c>
      <c r="CZ59" s="36">
        <v>17</v>
      </c>
      <c r="DA59" s="36">
        <v>20</v>
      </c>
      <c r="DC59" s="36">
        <v>17</v>
      </c>
      <c r="DD59" s="36">
        <v>18</v>
      </c>
      <c r="DF59" s="36">
        <v>16</v>
      </c>
      <c r="DG59" s="36">
        <v>19</v>
      </c>
      <c r="DI59" s="36">
        <v>17</v>
      </c>
      <c r="DJ59" s="36">
        <v>18</v>
      </c>
      <c r="DL59" s="36">
        <v>16</v>
      </c>
      <c r="DM59" s="36">
        <v>17</v>
      </c>
      <c r="HJ59" s="36">
        <f>HJ57+1</f>
        <v>27</v>
      </c>
      <c r="HK59" s="152" t="str">
        <f>IF(HE33=0,"",HE33)</f>
        <v/>
      </c>
      <c r="HL59" s="36" t="str">
        <f>IF(HF33=0,"",HF33)</f>
        <v/>
      </c>
      <c r="HM59" s="153" t="str">
        <f>IF(HG33=0,"",HG33)</f>
        <v/>
      </c>
      <c r="HQ59" s="159" t="str">
        <f t="shared" si="169"/>
        <v/>
      </c>
      <c r="HR59" s="160" t="str">
        <f t="shared" si="170"/>
        <v/>
      </c>
    </row>
    <row r="60" spans="12:226" ht="13.8" thickBot="1" x14ac:dyDescent="0.3">
      <c r="L60" s="36">
        <f t="shared" si="168"/>
        <v>16</v>
      </c>
      <c r="M60" s="154" t="str">
        <f t="shared" si="164"/>
        <v/>
      </c>
      <c r="N60" s="156" t="str">
        <f t="shared" si="165"/>
        <v/>
      </c>
      <c r="P60" s="244" t="str">
        <f t="shared" si="166"/>
        <v/>
      </c>
      <c r="Q60" s="245" t="str">
        <f t="shared" si="167"/>
        <v/>
      </c>
      <c r="AG60" s="36">
        <v>10</v>
      </c>
      <c r="AI60" s="36">
        <v>19</v>
      </c>
      <c r="AJ60" s="36">
        <v>20</v>
      </c>
      <c r="AL60" s="36">
        <v>18</v>
      </c>
      <c r="AM60" s="36">
        <v>20</v>
      </c>
      <c r="AO60" s="36">
        <v>19</v>
      </c>
      <c r="AP60" s="36">
        <v>20</v>
      </c>
      <c r="AR60" s="36">
        <v>18</v>
      </c>
      <c r="AS60" s="36">
        <v>19</v>
      </c>
      <c r="AU60" s="36">
        <v>20</v>
      </c>
      <c r="AV60" s="36">
        <v>21</v>
      </c>
      <c r="AX60" s="36">
        <v>19</v>
      </c>
      <c r="AY60" s="36">
        <v>20</v>
      </c>
      <c r="BA60" s="36">
        <v>20</v>
      </c>
      <c r="BB60" s="36">
        <v>21</v>
      </c>
      <c r="BD60" s="36">
        <v>20</v>
      </c>
      <c r="BE60" s="36">
        <v>22</v>
      </c>
      <c r="BG60" s="36">
        <v>19</v>
      </c>
      <c r="BH60" s="36">
        <v>20</v>
      </c>
      <c r="BJ60" s="36">
        <v>19</v>
      </c>
      <c r="BK60" s="36">
        <v>21</v>
      </c>
      <c r="BM60" s="36">
        <v>19</v>
      </c>
      <c r="BN60" s="36">
        <v>20</v>
      </c>
      <c r="BP60" s="36">
        <v>18</v>
      </c>
      <c r="BQ60" s="36">
        <v>19</v>
      </c>
      <c r="BS60" s="36">
        <v>20</v>
      </c>
      <c r="BT60" s="36">
        <v>21</v>
      </c>
      <c r="BV60" s="36">
        <v>19</v>
      </c>
      <c r="BW60" s="36">
        <v>20</v>
      </c>
      <c r="BY60" s="36">
        <v>20</v>
      </c>
      <c r="BZ60" s="36">
        <v>21</v>
      </c>
      <c r="CB60" s="36">
        <v>19</v>
      </c>
      <c r="CC60" s="36">
        <v>21</v>
      </c>
      <c r="CE60" s="36">
        <v>19</v>
      </c>
      <c r="CF60" s="36">
        <v>20</v>
      </c>
      <c r="CH60" s="36">
        <v>18</v>
      </c>
      <c r="CI60" s="36">
        <v>20</v>
      </c>
      <c r="CK60" s="36">
        <v>19</v>
      </c>
      <c r="CL60" s="36">
        <v>20</v>
      </c>
      <c r="CN60" s="36">
        <v>18</v>
      </c>
      <c r="CO60" s="36">
        <v>19</v>
      </c>
      <c r="CQ60" s="36">
        <v>20</v>
      </c>
      <c r="CR60" s="36">
        <v>21</v>
      </c>
      <c r="CT60" s="36">
        <v>19</v>
      </c>
      <c r="CU60" s="36">
        <v>20</v>
      </c>
      <c r="CW60" s="36">
        <v>20</v>
      </c>
      <c r="CX60" s="36">
        <v>21</v>
      </c>
      <c r="CZ60" s="36">
        <v>19</v>
      </c>
      <c r="DA60" s="36">
        <v>21</v>
      </c>
      <c r="DC60" s="36">
        <v>19</v>
      </c>
      <c r="DD60" s="36">
        <v>20</v>
      </c>
      <c r="DF60" s="36">
        <v>18</v>
      </c>
      <c r="DG60" s="36">
        <v>20</v>
      </c>
      <c r="HK60" s="152"/>
      <c r="HM60" s="153"/>
      <c r="HQ60" s="159" t="str">
        <f t="shared" si="169"/>
        <v/>
      </c>
      <c r="HR60" s="160" t="str">
        <f t="shared" si="170"/>
        <v/>
      </c>
    </row>
    <row r="61" spans="12:226" x14ac:dyDescent="0.25">
      <c r="AG61" s="36">
        <v>11</v>
      </c>
      <c r="AI61" s="36">
        <v>21</v>
      </c>
      <c r="AJ61" s="36">
        <v>22</v>
      </c>
      <c r="AL61" s="36">
        <v>21</v>
      </c>
      <c r="AM61" s="36">
        <v>23</v>
      </c>
      <c r="AO61" s="36">
        <v>21</v>
      </c>
      <c r="AP61" s="36">
        <v>22</v>
      </c>
      <c r="AR61" s="36">
        <v>20</v>
      </c>
      <c r="AS61" s="36">
        <v>21</v>
      </c>
      <c r="AU61" s="36">
        <v>22</v>
      </c>
      <c r="AV61" s="36">
        <v>23</v>
      </c>
      <c r="AX61" s="36">
        <v>21</v>
      </c>
      <c r="AY61" s="36">
        <v>22</v>
      </c>
      <c r="BA61" s="36">
        <v>22</v>
      </c>
      <c r="BB61" s="36">
        <v>23</v>
      </c>
      <c r="BD61" s="36">
        <v>21</v>
      </c>
      <c r="BE61" s="36">
        <v>23</v>
      </c>
      <c r="BG61" s="36">
        <v>21</v>
      </c>
      <c r="BH61" s="36">
        <v>22</v>
      </c>
      <c r="BJ61" s="36">
        <v>20</v>
      </c>
      <c r="BK61" s="36">
        <v>22</v>
      </c>
      <c r="BM61" s="36">
        <v>21</v>
      </c>
      <c r="BN61" s="36">
        <v>22</v>
      </c>
      <c r="BP61" s="36">
        <v>20</v>
      </c>
      <c r="BQ61" s="36">
        <v>21</v>
      </c>
      <c r="BS61" s="36">
        <v>22</v>
      </c>
      <c r="BT61" s="36">
        <v>23</v>
      </c>
      <c r="BV61" s="36">
        <v>21</v>
      </c>
      <c r="BW61" s="36">
        <v>22</v>
      </c>
      <c r="BY61" s="36">
        <v>22</v>
      </c>
      <c r="BZ61" s="36">
        <v>23</v>
      </c>
      <c r="CB61" s="36">
        <v>22</v>
      </c>
      <c r="CC61" s="36">
        <v>24</v>
      </c>
      <c r="CE61" s="36">
        <v>21</v>
      </c>
      <c r="CF61" s="36">
        <v>22</v>
      </c>
      <c r="CH61" s="36">
        <v>21</v>
      </c>
      <c r="CI61" s="36">
        <v>23</v>
      </c>
      <c r="CK61" s="36">
        <v>21</v>
      </c>
      <c r="CL61" s="36">
        <v>22</v>
      </c>
      <c r="CN61" s="36">
        <v>20</v>
      </c>
      <c r="CO61" s="36">
        <v>21</v>
      </c>
      <c r="HJ61" s="36">
        <f>HJ59+1</f>
        <v>28</v>
      </c>
      <c r="HK61" s="152" t="str">
        <f>IF(HE34=0,"",HE34)</f>
        <v/>
      </c>
      <c r="HL61" s="36" t="str">
        <f>IF(HF34=0,"",HF34)</f>
        <v/>
      </c>
      <c r="HM61" s="153" t="str">
        <f>IF(HG34=0,"",HG34)</f>
        <v/>
      </c>
      <c r="HQ61" s="159" t="str">
        <f t="shared" si="169"/>
        <v/>
      </c>
      <c r="HR61" s="160" t="str">
        <f t="shared" si="170"/>
        <v/>
      </c>
    </row>
    <row r="62" spans="12:226" x14ac:dyDescent="0.25">
      <c r="AG62" s="36">
        <v>12</v>
      </c>
      <c r="AI62" s="36">
        <v>23</v>
      </c>
      <c r="AJ62" s="36">
        <v>24</v>
      </c>
      <c r="AL62" s="36">
        <v>22</v>
      </c>
      <c r="AM62" s="36">
        <v>24</v>
      </c>
      <c r="AO62" s="36">
        <v>23</v>
      </c>
      <c r="AP62" s="36">
        <v>24</v>
      </c>
      <c r="AR62" s="36">
        <v>22</v>
      </c>
      <c r="AS62" s="36">
        <v>23</v>
      </c>
      <c r="AU62" s="36">
        <v>24</v>
      </c>
      <c r="AV62" s="36">
        <v>25</v>
      </c>
      <c r="AX62" s="36">
        <v>23</v>
      </c>
      <c r="AY62" s="36">
        <v>24</v>
      </c>
      <c r="BA62" s="36">
        <v>24</v>
      </c>
      <c r="BB62" s="36">
        <v>25</v>
      </c>
      <c r="BD62" s="36">
        <v>24</v>
      </c>
      <c r="BE62" s="36">
        <v>26</v>
      </c>
      <c r="BG62" s="36">
        <v>23</v>
      </c>
      <c r="BH62" s="36">
        <v>24</v>
      </c>
      <c r="BJ62" s="36">
        <v>23</v>
      </c>
      <c r="BK62" s="36">
        <v>25</v>
      </c>
      <c r="BM62" s="36">
        <v>23</v>
      </c>
      <c r="BN62" s="36">
        <v>24</v>
      </c>
      <c r="BP62" s="36">
        <v>22</v>
      </c>
      <c r="BQ62" s="36">
        <v>23</v>
      </c>
      <c r="BS62" s="36">
        <v>24</v>
      </c>
      <c r="BT62" s="36">
        <v>25</v>
      </c>
      <c r="BV62" s="36">
        <v>23</v>
      </c>
      <c r="BW62" s="36">
        <v>24</v>
      </c>
      <c r="BY62" s="36">
        <v>24</v>
      </c>
      <c r="BZ62" s="36">
        <v>25</v>
      </c>
      <c r="CB62" s="36">
        <v>23</v>
      </c>
      <c r="CC62" s="36">
        <v>25</v>
      </c>
      <c r="CE62" s="36">
        <v>23</v>
      </c>
      <c r="CF62" s="36">
        <v>24</v>
      </c>
      <c r="CH62" s="36">
        <v>22</v>
      </c>
      <c r="CI62" s="36">
        <v>24</v>
      </c>
      <c r="HK62" s="152"/>
      <c r="HM62" s="153"/>
      <c r="HQ62" s="159" t="str">
        <f t="shared" si="169"/>
        <v/>
      </c>
      <c r="HR62" s="160" t="str">
        <f t="shared" si="170"/>
        <v/>
      </c>
    </row>
    <row r="63" spans="12:226" x14ac:dyDescent="0.25">
      <c r="AG63" s="36">
        <v>13</v>
      </c>
      <c r="AI63" s="36">
        <v>25</v>
      </c>
      <c r="AJ63" s="36">
        <v>26</v>
      </c>
      <c r="AL63" s="36">
        <v>25</v>
      </c>
      <c r="AM63" s="36">
        <v>27</v>
      </c>
      <c r="AO63" s="36">
        <v>25</v>
      </c>
      <c r="AP63" s="36">
        <v>26</v>
      </c>
      <c r="AR63" s="36">
        <v>24</v>
      </c>
      <c r="AS63" s="36">
        <v>25</v>
      </c>
      <c r="AU63" s="36">
        <v>26</v>
      </c>
      <c r="AV63" s="36">
        <v>27</v>
      </c>
      <c r="AX63" s="36">
        <v>25</v>
      </c>
      <c r="AY63" s="36">
        <v>26</v>
      </c>
      <c r="BA63" s="36">
        <v>26</v>
      </c>
      <c r="BB63" s="36">
        <v>27</v>
      </c>
      <c r="BD63" s="36">
        <v>25</v>
      </c>
      <c r="BE63" s="36">
        <v>28</v>
      </c>
      <c r="BG63" s="36">
        <v>25</v>
      </c>
      <c r="BH63" s="36">
        <v>26</v>
      </c>
      <c r="BJ63" s="36">
        <v>24</v>
      </c>
      <c r="BK63" s="36">
        <v>27</v>
      </c>
      <c r="BM63" s="36">
        <v>25</v>
      </c>
      <c r="BN63" s="36">
        <v>26</v>
      </c>
      <c r="BP63" s="36">
        <v>24</v>
      </c>
      <c r="BQ63" s="36">
        <v>25</v>
      </c>
      <c r="HJ63" s="36">
        <f>HJ61+1</f>
        <v>29</v>
      </c>
      <c r="HK63" s="152" t="str">
        <f>IF(HE35=0,"",HE35)</f>
        <v/>
      </c>
      <c r="HL63" s="36" t="str">
        <f>IF(HF35=0,"",HF35)</f>
        <v/>
      </c>
      <c r="HM63" s="153" t="str">
        <f>IF(HG35=0,"",HG35)</f>
        <v/>
      </c>
      <c r="HQ63" s="159" t="str">
        <f t="shared" si="169"/>
        <v/>
      </c>
      <c r="HR63" s="160" t="str">
        <f t="shared" si="170"/>
        <v/>
      </c>
    </row>
    <row r="64" spans="12:226" x14ac:dyDescent="0.25">
      <c r="AG64" s="36">
        <v>14</v>
      </c>
      <c r="AI64" s="36">
        <v>27</v>
      </c>
      <c r="AJ64" s="36">
        <v>28</v>
      </c>
      <c r="AL64" s="36">
        <v>26</v>
      </c>
      <c r="AM64" s="36">
        <v>28</v>
      </c>
      <c r="AO64" s="36">
        <v>27</v>
      </c>
      <c r="AP64" s="36">
        <v>28</v>
      </c>
      <c r="AR64" s="36">
        <v>26</v>
      </c>
      <c r="AS64" s="36">
        <v>27</v>
      </c>
      <c r="AU64" s="36">
        <v>28</v>
      </c>
      <c r="AV64" s="36">
        <v>29</v>
      </c>
      <c r="AX64" s="36">
        <v>27</v>
      </c>
      <c r="AY64" s="36">
        <v>28</v>
      </c>
      <c r="BA64" s="36">
        <v>28</v>
      </c>
      <c r="BB64" s="36">
        <v>29</v>
      </c>
      <c r="BD64" s="36">
        <v>27</v>
      </c>
      <c r="BE64" s="36">
        <v>29</v>
      </c>
      <c r="BG64" s="36">
        <v>27</v>
      </c>
      <c r="BH64" s="36">
        <v>28</v>
      </c>
      <c r="BJ64" s="36">
        <v>26</v>
      </c>
      <c r="BK64" s="36">
        <v>28</v>
      </c>
      <c r="HK64" s="152"/>
      <c r="HM64" s="153"/>
      <c r="HQ64" s="159" t="str">
        <f t="shared" si="169"/>
        <v/>
      </c>
      <c r="HR64" s="160" t="str">
        <f t="shared" si="170"/>
        <v/>
      </c>
    </row>
    <row r="65" spans="33:226" x14ac:dyDescent="0.25">
      <c r="AG65" s="36">
        <v>15</v>
      </c>
      <c r="AI65" s="36">
        <v>29</v>
      </c>
      <c r="AJ65" s="36">
        <v>30</v>
      </c>
      <c r="AL65" s="36">
        <v>29</v>
      </c>
      <c r="AM65" s="36">
        <v>31</v>
      </c>
      <c r="AO65" s="36">
        <v>29</v>
      </c>
      <c r="AP65" s="36">
        <v>30</v>
      </c>
      <c r="AR65" s="36">
        <v>28</v>
      </c>
      <c r="AS65" s="36">
        <v>29</v>
      </c>
      <c r="HJ65" s="36">
        <f>HJ63+1</f>
        <v>30</v>
      </c>
      <c r="HK65" s="152" t="str">
        <f>IF(HE36=0,"",HE36)</f>
        <v/>
      </c>
      <c r="HL65" s="36" t="str">
        <f>IF(HF36=0,"",HF36)</f>
        <v/>
      </c>
      <c r="HM65" s="153" t="str">
        <f>IF(HG36=0,"",HG36)</f>
        <v/>
      </c>
      <c r="HQ65" s="159" t="str">
        <f t="shared" si="169"/>
        <v/>
      </c>
      <c r="HR65" s="160" t="str">
        <f t="shared" si="170"/>
        <v/>
      </c>
    </row>
    <row r="66" spans="33:226" x14ac:dyDescent="0.25">
      <c r="AG66" s="36">
        <v>16</v>
      </c>
      <c r="AI66" s="36">
        <v>31</v>
      </c>
      <c r="AJ66" s="36">
        <v>32</v>
      </c>
      <c r="AL66" s="36">
        <v>30</v>
      </c>
      <c r="AM66" s="36">
        <v>32</v>
      </c>
      <c r="HK66" s="152"/>
      <c r="HM66" s="153"/>
      <c r="HQ66" s="159" t="str">
        <f t="shared" si="169"/>
        <v/>
      </c>
      <c r="HR66" s="160" t="str">
        <f t="shared" si="170"/>
        <v/>
      </c>
    </row>
    <row r="67" spans="33:226" x14ac:dyDescent="0.25">
      <c r="HJ67" s="36">
        <f>HJ65+1</f>
        <v>31</v>
      </c>
      <c r="HK67" s="152" t="str">
        <f>IF(HE37=0,"",HE37)</f>
        <v/>
      </c>
      <c r="HL67" s="36" t="str">
        <f>IF(HF37=0,"",HF37)</f>
        <v/>
      </c>
      <c r="HM67" s="153" t="str">
        <f>IF(HG37=0,"",HG37)</f>
        <v/>
      </c>
      <c r="HQ67" s="159" t="str">
        <f t="shared" si="169"/>
        <v/>
      </c>
      <c r="HR67" s="160" t="str">
        <f t="shared" si="170"/>
        <v/>
      </c>
    </row>
    <row r="68" spans="33:226" x14ac:dyDescent="0.25">
      <c r="AG68" s="67" t="str">
        <f>AI50</f>
        <v>1. kolo</v>
      </c>
      <c r="AI68" s="67" t="str">
        <f>[1]List1!$A$48</f>
        <v>červený</v>
      </c>
      <c r="HK68" s="152"/>
      <c r="HM68" s="153"/>
      <c r="HQ68" s="159" t="str">
        <f t="shared" si="169"/>
        <v/>
      </c>
      <c r="HR68" s="160" t="str">
        <f t="shared" si="170"/>
        <v/>
      </c>
    </row>
    <row r="69" spans="33:226" x14ac:dyDescent="0.25">
      <c r="AH69" s="36">
        <v>32</v>
      </c>
      <c r="AI69" s="36">
        <f>AH69-1</f>
        <v>31</v>
      </c>
      <c r="AJ69" s="36">
        <f t="shared" ref="AJ69:BH69" si="171">AI69-1</f>
        <v>30</v>
      </c>
      <c r="AK69" s="36">
        <f t="shared" si="171"/>
        <v>29</v>
      </c>
      <c r="AL69" s="36">
        <f t="shared" si="171"/>
        <v>28</v>
      </c>
      <c r="AM69" s="36">
        <f t="shared" si="171"/>
        <v>27</v>
      </c>
      <c r="AN69" s="36">
        <f t="shared" si="171"/>
        <v>26</v>
      </c>
      <c r="AO69" s="36">
        <f t="shared" si="171"/>
        <v>25</v>
      </c>
      <c r="AP69" s="36">
        <f t="shared" si="171"/>
        <v>24</v>
      </c>
      <c r="AQ69" s="36">
        <f t="shared" si="171"/>
        <v>23</v>
      </c>
      <c r="AR69" s="36">
        <f t="shared" si="171"/>
        <v>22</v>
      </c>
      <c r="AS69" s="36">
        <f t="shared" si="171"/>
        <v>21</v>
      </c>
      <c r="AT69" s="36">
        <f t="shared" si="171"/>
        <v>20</v>
      </c>
      <c r="AU69" s="36">
        <f t="shared" si="171"/>
        <v>19</v>
      </c>
      <c r="AV69" s="36">
        <f t="shared" si="171"/>
        <v>18</v>
      </c>
      <c r="AW69" s="36">
        <f t="shared" si="171"/>
        <v>17</v>
      </c>
      <c r="AX69" s="36">
        <f t="shared" si="171"/>
        <v>16</v>
      </c>
      <c r="AY69" s="36">
        <f t="shared" si="171"/>
        <v>15</v>
      </c>
      <c r="AZ69" s="36">
        <f t="shared" si="171"/>
        <v>14</v>
      </c>
      <c r="BA69" s="36">
        <f t="shared" si="171"/>
        <v>13</v>
      </c>
      <c r="BB69" s="36">
        <f t="shared" si="171"/>
        <v>12</v>
      </c>
      <c r="BC69" s="36">
        <f t="shared" si="171"/>
        <v>11</v>
      </c>
      <c r="BD69" s="36">
        <f t="shared" si="171"/>
        <v>10</v>
      </c>
      <c r="BE69" s="36">
        <f t="shared" si="171"/>
        <v>9</v>
      </c>
      <c r="BF69" s="36">
        <f t="shared" si="171"/>
        <v>8</v>
      </c>
      <c r="BG69" s="36">
        <f t="shared" si="171"/>
        <v>7</v>
      </c>
      <c r="BH69" s="36">
        <f t="shared" si="171"/>
        <v>6</v>
      </c>
      <c r="BI69" s="36"/>
      <c r="BJ69" s="36"/>
      <c r="BK69" s="36"/>
      <c r="BL69" s="36"/>
      <c r="BM69" s="36"/>
      <c r="HJ69" s="36">
        <f>HJ67+1</f>
        <v>32</v>
      </c>
      <c r="HK69" s="152" t="str">
        <f>IF(HE38=0,"",HE38)</f>
        <v/>
      </c>
      <c r="HL69" s="36" t="str">
        <f>IF(HF38=0,"",HF38)</f>
        <v/>
      </c>
      <c r="HM69" s="153" t="str">
        <f>IF(HG38=0,"",HG38)</f>
        <v/>
      </c>
      <c r="HQ69" s="159" t="str">
        <f t="shared" si="169"/>
        <v/>
      </c>
      <c r="HR69" s="160" t="str">
        <f t="shared" si="170"/>
        <v/>
      </c>
    </row>
    <row r="70" spans="33:226" ht="13.8" thickBot="1" x14ac:dyDescent="0.3">
      <c r="AH70" s="36">
        <v>1</v>
      </c>
      <c r="AI70" s="36">
        <f>AH70+1</f>
        <v>2</v>
      </c>
      <c r="AJ70" s="36">
        <f t="shared" ref="AJ70:BH70" si="172">AI70+1</f>
        <v>3</v>
      </c>
      <c r="AK70" s="36">
        <f t="shared" si="172"/>
        <v>4</v>
      </c>
      <c r="AL70" s="36">
        <f t="shared" si="172"/>
        <v>5</v>
      </c>
      <c r="AM70" s="36">
        <f t="shared" si="172"/>
        <v>6</v>
      </c>
      <c r="AN70" s="36">
        <f t="shared" si="172"/>
        <v>7</v>
      </c>
      <c r="AO70" s="36">
        <f t="shared" si="172"/>
        <v>8</v>
      </c>
      <c r="AP70" s="36">
        <f t="shared" si="172"/>
        <v>9</v>
      </c>
      <c r="AQ70" s="36">
        <f t="shared" si="172"/>
        <v>10</v>
      </c>
      <c r="AR70" s="36">
        <f t="shared" si="172"/>
        <v>11</v>
      </c>
      <c r="AS70" s="36">
        <f t="shared" si="172"/>
        <v>12</v>
      </c>
      <c r="AT70" s="36">
        <f t="shared" si="172"/>
        <v>13</v>
      </c>
      <c r="AU70" s="36">
        <f t="shared" si="172"/>
        <v>14</v>
      </c>
      <c r="AV70" s="36">
        <f t="shared" si="172"/>
        <v>15</v>
      </c>
      <c r="AW70" s="36">
        <f t="shared" si="172"/>
        <v>16</v>
      </c>
      <c r="AX70" s="36">
        <f t="shared" si="172"/>
        <v>17</v>
      </c>
      <c r="AY70" s="36">
        <f t="shared" si="172"/>
        <v>18</v>
      </c>
      <c r="AZ70" s="36">
        <f t="shared" si="172"/>
        <v>19</v>
      </c>
      <c r="BA70" s="36">
        <f t="shared" si="172"/>
        <v>20</v>
      </c>
      <c r="BB70" s="36">
        <f t="shared" si="172"/>
        <v>21</v>
      </c>
      <c r="BC70" s="36">
        <f t="shared" si="172"/>
        <v>22</v>
      </c>
      <c r="BD70" s="36">
        <f t="shared" si="172"/>
        <v>23</v>
      </c>
      <c r="BE70" s="36">
        <f t="shared" si="172"/>
        <v>24</v>
      </c>
      <c r="BF70" s="36">
        <f t="shared" si="172"/>
        <v>25</v>
      </c>
      <c r="BG70" s="36">
        <f t="shared" si="172"/>
        <v>26</v>
      </c>
      <c r="BH70" s="36">
        <f t="shared" si="172"/>
        <v>27</v>
      </c>
      <c r="HK70" s="154"/>
      <c r="HL70" s="155"/>
      <c r="HM70" s="156"/>
      <c r="HQ70" s="161" t="str">
        <f t="shared" si="169"/>
        <v/>
      </c>
      <c r="HR70" s="162" t="str">
        <f t="shared" si="170"/>
        <v/>
      </c>
    </row>
    <row r="71" spans="33:226" x14ac:dyDescent="0.25">
      <c r="AG71" s="36">
        <v>1</v>
      </c>
      <c r="AH71" s="140">
        <f>AI51</f>
        <v>1</v>
      </c>
      <c r="AI71" s="85">
        <f>AO51</f>
        <v>1</v>
      </c>
      <c r="AJ71" s="85">
        <f>AU51</f>
        <v>1</v>
      </c>
      <c r="AK71" s="85">
        <f>BA51</f>
        <v>1</v>
      </c>
      <c r="AL71" s="85">
        <f>BG51</f>
        <v>1</v>
      </c>
      <c r="AM71" s="85">
        <f>BM51</f>
        <v>1</v>
      </c>
      <c r="AN71" s="85">
        <f>BS51</f>
        <v>1</v>
      </c>
      <c r="AO71" s="85">
        <f>BY51</f>
        <v>1</v>
      </c>
      <c r="AP71" s="85">
        <f>CE51</f>
        <v>1</v>
      </c>
      <c r="AQ71" s="85">
        <f>CK51</f>
        <v>1</v>
      </c>
      <c r="AR71" s="85">
        <f>CQ51</f>
        <v>1</v>
      </c>
      <c r="AS71" s="85">
        <f>CW51</f>
        <v>1</v>
      </c>
      <c r="AT71" s="85">
        <f>DC51</f>
        <v>1</v>
      </c>
      <c r="AU71" s="85">
        <f>DI51</f>
        <v>1</v>
      </c>
      <c r="AV71" s="85">
        <f>DO51</f>
        <v>1</v>
      </c>
      <c r="AW71" s="85">
        <f>DU51</f>
        <v>1</v>
      </c>
      <c r="AX71" s="85">
        <f>EA51</f>
        <v>1</v>
      </c>
      <c r="AY71" s="85">
        <f>EG51</f>
        <v>1</v>
      </c>
      <c r="AZ71" s="85">
        <f>EM51</f>
        <v>1</v>
      </c>
      <c r="BA71" s="85">
        <f>ES51</f>
        <v>1</v>
      </c>
      <c r="BB71" s="85">
        <f>EY51</f>
        <v>1</v>
      </c>
      <c r="BC71" s="85">
        <f>FE51</f>
        <v>1</v>
      </c>
      <c r="BD71" s="85">
        <f>FK51</f>
        <v>1</v>
      </c>
      <c r="BE71" s="85">
        <f>FQ51</f>
        <v>1</v>
      </c>
      <c r="BF71" s="85">
        <f>FW51</f>
        <v>1</v>
      </c>
      <c r="BG71" s="85">
        <f>GC51</f>
        <v>1</v>
      </c>
      <c r="BH71" s="141">
        <f>GI51</f>
        <v>1</v>
      </c>
    </row>
    <row r="72" spans="33:226" x14ac:dyDescent="0.25">
      <c r="AG72" s="36">
        <v>2</v>
      </c>
      <c r="AH72" s="138">
        <f t="shared" ref="AH72:AH86" si="173">AI52</f>
        <v>3</v>
      </c>
      <c r="AI72" s="36">
        <f t="shared" ref="AI72:AI86" si="174">AO52</f>
        <v>3</v>
      </c>
      <c r="AJ72" s="36">
        <f t="shared" ref="AJ72:AJ86" si="175">AU52</f>
        <v>3</v>
      </c>
      <c r="AK72" s="36">
        <f t="shared" ref="AK72:AK86" si="176">BA52</f>
        <v>3</v>
      </c>
      <c r="AL72" s="36">
        <f t="shared" ref="AL72:AL86" si="177">BG52</f>
        <v>3</v>
      </c>
      <c r="AM72" s="36">
        <f t="shared" ref="AM72:AM86" si="178">BM52</f>
        <v>3</v>
      </c>
      <c r="AN72" s="36">
        <f t="shared" ref="AN72:AN86" si="179">BS52</f>
        <v>3</v>
      </c>
      <c r="AO72" s="36">
        <f t="shared" ref="AO72:AO86" si="180">BY52</f>
        <v>3</v>
      </c>
      <c r="AP72" s="36">
        <f t="shared" ref="AP72:AP86" si="181">CE52</f>
        <v>3</v>
      </c>
      <c r="AQ72" s="36">
        <f t="shared" ref="AQ72:AQ86" si="182">CK52</f>
        <v>3</v>
      </c>
      <c r="AR72" s="36">
        <f t="shared" ref="AR72:AR86" si="183">CQ52</f>
        <v>3</v>
      </c>
      <c r="AS72" s="36">
        <f t="shared" ref="AS72:AS86" si="184">CW52</f>
        <v>3</v>
      </c>
      <c r="AT72" s="36">
        <f t="shared" ref="AT72:AT86" si="185">DC52</f>
        <v>3</v>
      </c>
      <c r="AU72" s="36">
        <f t="shared" ref="AU72:AU86" si="186">DI52</f>
        <v>3</v>
      </c>
      <c r="AV72" s="36">
        <f t="shared" ref="AV72:AV86" si="187">DO52</f>
        <v>3</v>
      </c>
      <c r="AW72" s="36">
        <f t="shared" ref="AW72:AW86" si="188">DU52</f>
        <v>3</v>
      </c>
      <c r="AX72" s="36">
        <f t="shared" ref="AX72:AX86" si="189">EA52</f>
        <v>3</v>
      </c>
      <c r="AY72" s="36">
        <f t="shared" ref="AY72:AY86" si="190">EG52</f>
        <v>3</v>
      </c>
      <c r="AZ72" s="36">
        <f t="shared" ref="AZ72:AZ86" si="191">EM52</f>
        <v>3</v>
      </c>
      <c r="BA72" s="36">
        <f t="shared" ref="BA72:BA86" si="192">ES52</f>
        <v>3</v>
      </c>
      <c r="BB72" s="36">
        <f t="shared" ref="BB72:BB86" si="193">EY52</f>
        <v>3</v>
      </c>
      <c r="BC72" s="36">
        <f t="shared" ref="BC72:BC86" si="194">FE52</f>
        <v>3</v>
      </c>
      <c r="BD72" s="36">
        <f t="shared" ref="BD72:BD86" si="195">FK52</f>
        <v>3</v>
      </c>
      <c r="BE72" s="36">
        <f t="shared" ref="BE72:BE86" si="196">FQ52</f>
        <v>3</v>
      </c>
      <c r="BF72" s="36">
        <f t="shared" ref="BF72:BF86" si="197">FW52</f>
        <v>3</v>
      </c>
      <c r="BG72" s="36">
        <f t="shared" ref="BG72:BG86" si="198">GC52</f>
        <v>3</v>
      </c>
      <c r="BH72" s="149">
        <f t="shared" ref="BH72:BH86" si="199">GI52</f>
        <v>4</v>
      </c>
    </row>
    <row r="73" spans="33:226" x14ac:dyDescent="0.25">
      <c r="AG73" s="36">
        <v>3</v>
      </c>
      <c r="AH73" s="138">
        <f t="shared" si="173"/>
        <v>5</v>
      </c>
      <c r="AI73" s="36">
        <f t="shared" si="174"/>
        <v>5</v>
      </c>
      <c r="AJ73" s="36">
        <f t="shared" si="175"/>
        <v>5</v>
      </c>
      <c r="AK73" s="36">
        <f t="shared" si="176"/>
        <v>5</v>
      </c>
      <c r="AL73" s="36">
        <f t="shared" si="177"/>
        <v>5</v>
      </c>
      <c r="AM73" s="36">
        <f t="shared" si="178"/>
        <v>5</v>
      </c>
      <c r="AN73" s="36">
        <f t="shared" si="179"/>
        <v>5</v>
      </c>
      <c r="AO73" s="36">
        <f t="shared" si="180"/>
        <v>5</v>
      </c>
      <c r="AP73" s="36">
        <f t="shared" si="181"/>
        <v>5</v>
      </c>
      <c r="AQ73" s="36">
        <f t="shared" si="182"/>
        <v>5</v>
      </c>
      <c r="AR73" s="36">
        <f t="shared" si="183"/>
        <v>5</v>
      </c>
      <c r="AS73" s="36">
        <f t="shared" si="184"/>
        <v>5</v>
      </c>
      <c r="AT73" s="36">
        <f t="shared" si="185"/>
        <v>5</v>
      </c>
      <c r="AU73" s="36">
        <f t="shared" si="186"/>
        <v>5</v>
      </c>
      <c r="AV73" s="36">
        <f t="shared" si="187"/>
        <v>5</v>
      </c>
      <c r="AW73" s="36">
        <f t="shared" si="188"/>
        <v>5</v>
      </c>
      <c r="AX73" s="36">
        <f t="shared" si="189"/>
        <v>5</v>
      </c>
      <c r="AY73" s="36">
        <f t="shared" si="190"/>
        <v>5</v>
      </c>
      <c r="AZ73" s="36">
        <f t="shared" si="191"/>
        <v>5</v>
      </c>
      <c r="BA73" s="36">
        <f t="shared" si="192"/>
        <v>5</v>
      </c>
      <c r="BB73" s="36">
        <f t="shared" si="193"/>
        <v>5</v>
      </c>
      <c r="BC73" s="36">
        <f t="shared" si="194"/>
        <v>5</v>
      </c>
      <c r="BD73" s="36">
        <f t="shared" si="195"/>
        <v>6</v>
      </c>
      <c r="BE73" s="36">
        <f t="shared" si="196"/>
        <v>6</v>
      </c>
      <c r="BF73" s="36">
        <f t="shared" si="197"/>
        <v>5</v>
      </c>
      <c r="BG73" s="36">
        <f t="shared" si="198"/>
        <v>5</v>
      </c>
      <c r="BH73" s="149">
        <f t="shared" si="199"/>
        <v>0</v>
      </c>
    </row>
    <row r="74" spans="33:226" x14ac:dyDescent="0.25">
      <c r="AG74" s="36">
        <v>4</v>
      </c>
      <c r="AH74" s="138">
        <f t="shared" si="173"/>
        <v>7</v>
      </c>
      <c r="AI74" s="36">
        <f t="shared" si="174"/>
        <v>7</v>
      </c>
      <c r="AJ74" s="36">
        <f t="shared" si="175"/>
        <v>7</v>
      </c>
      <c r="AK74" s="36">
        <f t="shared" si="176"/>
        <v>7</v>
      </c>
      <c r="AL74" s="36">
        <f t="shared" si="177"/>
        <v>7</v>
      </c>
      <c r="AM74" s="36">
        <f t="shared" si="178"/>
        <v>7</v>
      </c>
      <c r="AN74" s="36">
        <f t="shared" si="179"/>
        <v>7</v>
      </c>
      <c r="AO74" s="36">
        <f t="shared" si="180"/>
        <v>7</v>
      </c>
      <c r="AP74" s="36">
        <f t="shared" si="181"/>
        <v>7</v>
      </c>
      <c r="AQ74" s="36">
        <f t="shared" si="182"/>
        <v>7</v>
      </c>
      <c r="AR74" s="36">
        <f t="shared" si="183"/>
        <v>7</v>
      </c>
      <c r="AS74" s="36">
        <f t="shared" si="184"/>
        <v>7</v>
      </c>
      <c r="AT74" s="36">
        <f t="shared" si="185"/>
        <v>7</v>
      </c>
      <c r="AU74" s="36">
        <f t="shared" si="186"/>
        <v>7</v>
      </c>
      <c r="AV74" s="36">
        <f t="shared" si="187"/>
        <v>7</v>
      </c>
      <c r="AW74" s="36">
        <f t="shared" si="188"/>
        <v>7</v>
      </c>
      <c r="AX74" s="36">
        <f t="shared" si="189"/>
        <v>7</v>
      </c>
      <c r="AY74" s="36">
        <f t="shared" si="190"/>
        <v>7</v>
      </c>
      <c r="AZ74" s="36">
        <f t="shared" si="191"/>
        <v>8</v>
      </c>
      <c r="BA74" s="36">
        <f t="shared" si="192"/>
        <v>8</v>
      </c>
      <c r="BB74" s="36">
        <f t="shared" si="193"/>
        <v>7</v>
      </c>
      <c r="BC74" s="36">
        <f t="shared" si="194"/>
        <v>7</v>
      </c>
      <c r="BD74" s="36">
        <f t="shared" si="195"/>
        <v>8</v>
      </c>
      <c r="BE74" s="36">
        <f t="shared" si="196"/>
        <v>8</v>
      </c>
      <c r="BF74" s="36">
        <f t="shared" si="197"/>
        <v>7</v>
      </c>
      <c r="BG74" s="36">
        <f t="shared" si="198"/>
        <v>0</v>
      </c>
      <c r="BH74" s="149">
        <f t="shared" si="199"/>
        <v>0</v>
      </c>
    </row>
    <row r="75" spans="33:226" x14ac:dyDescent="0.25">
      <c r="AG75" s="36">
        <v>5</v>
      </c>
      <c r="AH75" s="138">
        <f t="shared" si="173"/>
        <v>9</v>
      </c>
      <c r="AI75" s="36">
        <f t="shared" si="174"/>
        <v>9</v>
      </c>
      <c r="AJ75" s="36">
        <f t="shared" si="175"/>
        <v>9</v>
      </c>
      <c r="AK75" s="36">
        <f t="shared" si="176"/>
        <v>9</v>
      </c>
      <c r="AL75" s="36">
        <f t="shared" si="177"/>
        <v>9</v>
      </c>
      <c r="AM75" s="36">
        <f t="shared" si="178"/>
        <v>9</v>
      </c>
      <c r="AN75" s="36">
        <f t="shared" si="179"/>
        <v>9</v>
      </c>
      <c r="AO75" s="36">
        <f t="shared" si="180"/>
        <v>9</v>
      </c>
      <c r="AP75" s="36">
        <f t="shared" si="181"/>
        <v>9</v>
      </c>
      <c r="AQ75" s="36">
        <f t="shared" si="182"/>
        <v>9</v>
      </c>
      <c r="AR75" s="36">
        <f t="shared" si="183"/>
        <v>9</v>
      </c>
      <c r="AS75" s="36">
        <f t="shared" si="184"/>
        <v>9</v>
      </c>
      <c r="AT75" s="36">
        <f t="shared" si="185"/>
        <v>9</v>
      </c>
      <c r="AU75" s="36">
        <f t="shared" si="186"/>
        <v>9</v>
      </c>
      <c r="AV75" s="36">
        <f t="shared" si="187"/>
        <v>10</v>
      </c>
      <c r="AW75" s="36">
        <f t="shared" si="188"/>
        <v>10</v>
      </c>
      <c r="AX75" s="36">
        <f t="shared" si="189"/>
        <v>9</v>
      </c>
      <c r="AY75" s="36">
        <f t="shared" si="190"/>
        <v>9</v>
      </c>
      <c r="AZ75" s="36">
        <f t="shared" si="191"/>
        <v>10</v>
      </c>
      <c r="BA75" s="36">
        <f t="shared" si="192"/>
        <v>10</v>
      </c>
      <c r="BB75" s="36">
        <f t="shared" si="193"/>
        <v>9</v>
      </c>
      <c r="BC75" s="36">
        <f t="shared" si="194"/>
        <v>9</v>
      </c>
      <c r="BD75" s="36">
        <f t="shared" si="195"/>
        <v>0</v>
      </c>
      <c r="BE75" s="36">
        <f t="shared" si="196"/>
        <v>0</v>
      </c>
      <c r="BF75" s="36">
        <f t="shared" si="197"/>
        <v>0</v>
      </c>
      <c r="BG75" s="36">
        <f t="shared" si="198"/>
        <v>0</v>
      </c>
      <c r="BH75" s="149">
        <f t="shared" si="199"/>
        <v>0</v>
      </c>
    </row>
    <row r="76" spans="33:226" x14ac:dyDescent="0.25">
      <c r="AG76" s="36">
        <v>6</v>
      </c>
      <c r="AH76" s="138">
        <f t="shared" si="173"/>
        <v>11</v>
      </c>
      <c r="AI76" s="36">
        <f t="shared" si="174"/>
        <v>11</v>
      </c>
      <c r="AJ76" s="36">
        <f t="shared" si="175"/>
        <v>11</v>
      </c>
      <c r="AK76" s="36">
        <f t="shared" si="176"/>
        <v>11</v>
      </c>
      <c r="AL76" s="36">
        <f t="shared" si="177"/>
        <v>11</v>
      </c>
      <c r="AM76" s="36">
        <f t="shared" si="178"/>
        <v>11</v>
      </c>
      <c r="AN76" s="36">
        <f t="shared" si="179"/>
        <v>11</v>
      </c>
      <c r="AO76" s="36">
        <f t="shared" si="180"/>
        <v>11</v>
      </c>
      <c r="AP76" s="36">
        <f t="shared" si="181"/>
        <v>11</v>
      </c>
      <c r="AQ76" s="36">
        <f t="shared" si="182"/>
        <v>11</v>
      </c>
      <c r="AR76" s="36">
        <f t="shared" si="183"/>
        <v>12</v>
      </c>
      <c r="AS76" s="36">
        <f t="shared" si="184"/>
        <v>12</v>
      </c>
      <c r="AT76" s="36">
        <f t="shared" si="185"/>
        <v>11</v>
      </c>
      <c r="AU76" s="36">
        <f t="shared" si="186"/>
        <v>11</v>
      </c>
      <c r="AV76" s="36">
        <f t="shared" si="187"/>
        <v>12</v>
      </c>
      <c r="AW76" s="36">
        <f t="shared" si="188"/>
        <v>12</v>
      </c>
      <c r="AX76" s="36">
        <f t="shared" si="189"/>
        <v>11</v>
      </c>
      <c r="AY76" s="36">
        <f t="shared" si="190"/>
        <v>11</v>
      </c>
      <c r="AZ76" s="36">
        <f t="shared" si="191"/>
        <v>12</v>
      </c>
      <c r="BA76" s="36">
        <f t="shared" si="192"/>
        <v>12</v>
      </c>
      <c r="BB76" s="36">
        <f t="shared" si="193"/>
        <v>11</v>
      </c>
      <c r="BC76" s="36">
        <f t="shared" si="194"/>
        <v>0</v>
      </c>
      <c r="BD76" s="36">
        <f t="shared" si="195"/>
        <v>0</v>
      </c>
      <c r="BE76" s="36">
        <f t="shared" si="196"/>
        <v>0</v>
      </c>
      <c r="BF76" s="36">
        <f t="shared" si="197"/>
        <v>0</v>
      </c>
      <c r="BG76" s="36">
        <f t="shared" si="198"/>
        <v>0</v>
      </c>
      <c r="BH76" s="149">
        <f t="shared" si="199"/>
        <v>0</v>
      </c>
    </row>
    <row r="77" spans="33:226" x14ac:dyDescent="0.25">
      <c r="AG77" s="36">
        <v>7</v>
      </c>
      <c r="AH77" s="138">
        <f t="shared" si="173"/>
        <v>13</v>
      </c>
      <c r="AI77" s="36">
        <f t="shared" si="174"/>
        <v>13</v>
      </c>
      <c r="AJ77" s="36">
        <f t="shared" si="175"/>
        <v>13</v>
      </c>
      <c r="AK77" s="36">
        <f t="shared" si="176"/>
        <v>13</v>
      </c>
      <c r="AL77" s="36">
        <f t="shared" si="177"/>
        <v>13</v>
      </c>
      <c r="AM77" s="36">
        <f t="shared" si="178"/>
        <v>13</v>
      </c>
      <c r="AN77" s="36">
        <f t="shared" si="179"/>
        <v>14</v>
      </c>
      <c r="AO77" s="36">
        <f t="shared" si="180"/>
        <v>14</v>
      </c>
      <c r="AP77" s="36">
        <f t="shared" si="181"/>
        <v>13</v>
      </c>
      <c r="AQ77" s="36">
        <f t="shared" si="182"/>
        <v>13</v>
      </c>
      <c r="AR77" s="36">
        <f t="shared" si="183"/>
        <v>14</v>
      </c>
      <c r="AS77" s="36">
        <f t="shared" si="184"/>
        <v>14</v>
      </c>
      <c r="AT77" s="36">
        <f t="shared" si="185"/>
        <v>13</v>
      </c>
      <c r="AU77" s="36">
        <f t="shared" si="186"/>
        <v>13</v>
      </c>
      <c r="AV77" s="36">
        <f t="shared" si="187"/>
        <v>14</v>
      </c>
      <c r="AW77" s="36">
        <f t="shared" si="188"/>
        <v>14</v>
      </c>
      <c r="AX77" s="36">
        <f t="shared" si="189"/>
        <v>13</v>
      </c>
      <c r="AY77" s="36">
        <f t="shared" si="190"/>
        <v>13</v>
      </c>
      <c r="AZ77" s="36">
        <f t="shared" si="191"/>
        <v>0</v>
      </c>
      <c r="BA77" s="36">
        <f t="shared" si="192"/>
        <v>0</v>
      </c>
      <c r="BB77" s="36">
        <f t="shared" si="193"/>
        <v>0</v>
      </c>
      <c r="BC77" s="36">
        <f t="shared" si="194"/>
        <v>0</v>
      </c>
      <c r="BD77" s="36">
        <f t="shared" si="195"/>
        <v>0</v>
      </c>
      <c r="BE77" s="36">
        <f t="shared" si="196"/>
        <v>0</v>
      </c>
      <c r="BF77" s="36">
        <f t="shared" si="197"/>
        <v>0</v>
      </c>
      <c r="BG77" s="36">
        <f t="shared" si="198"/>
        <v>0</v>
      </c>
      <c r="BH77" s="149">
        <f t="shared" si="199"/>
        <v>0</v>
      </c>
    </row>
    <row r="78" spans="33:226" x14ac:dyDescent="0.25">
      <c r="AG78" s="36">
        <v>8</v>
      </c>
      <c r="AH78" s="138">
        <f t="shared" si="173"/>
        <v>15</v>
      </c>
      <c r="AI78" s="36">
        <f t="shared" si="174"/>
        <v>15</v>
      </c>
      <c r="AJ78" s="36">
        <f t="shared" si="175"/>
        <v>16</v>
      </c>
      <c r="AK78" s="36">
        <f t="shared" si="176"/>
        <v>16</v>
      </c>
      <c r="AL78" s="36">
        <f t="shared" si="177"/>
        <v>15</v>
      </c>
      <c r="AM78" s="36">
        <f t="shared" si="178"/>
        <v>15</v>
      </c>
      <c r="AN78" s="36">
        <f t="shared" si="179"/>
        <v>16</v>
      </c>
      <c r="AO78" s="36">
        <f t="shared" si="180"/>
        <v>16</v>
      </c>
      <c r="AP78" s="36">
        <f t="shared" si="181"/>
        <v>15</v>
      </c>
      <c r="AQ78" s="36">
        <f t="shared" si="182"/>
        <v>15</v>
      </c>
      <c r="AR78" s="36">
        <f t="shared" si="183"/>
        <v>16</v>
      </c>
      <c r="AS78" s="36">
        <f t="shared" si="184"/>
        <v>16</v>
      </c>
      <c r="AT78" s="36">
        <f t="shared" si="185"/>
        <v>15</v>
      </c>
      <c r="AU78" s="36">
        <f t="shared" si="186"/>
        <v>15</v>
      </c>
      <c r="AV78" s="36">
        <f t="shared" si="187"/>
        <v>16</v>
      </c>
      <c r="AW78" s="36">
        <f t="shared" si="188"/>
        <v>16</v>
      </c>
      <c r="AX78" s="36">
        <f t="shared" si="189"/>
        <v>15</v>
      </c>
      <c r="AY78" s="36">
        <f t="shared" si="190"/>
        <v>0</v>
      </c>
      <c r="AZ78" s="36">
        <f t="shared" si="191"/>
        <v>0</v>
      </c>
      <c r="BA78" s="36">
        <f t="shared" si="192"/>
        <v>0</v>
      </c>
      <c r="BB78" s="36">
        <f t="shared" si="193"/>
        <v>0</v>
      </c>
      <c r="BC78" s="36">
        <f t="shared" si="194"/>
        <v>0</v>
      </c>
      <c r="BD78" s="36">
        <f t="shared" si="195"/>
        <v>0</v>
      </c>
      <c r="BE78" s="36">
        <f t="shared" si="196"/>
        <v>0</v>
      </c>
      <c r="BF78" s="36">
        <f t="shared" si="197"/>
        <v>0</v>
      </c>
      <c r="BG78" s="36">
        <f t="shared" si="198"/>
        <v>0</v>
      </c>
      <c r="BH78" s="149">
        <f t="shared" si="199"/>
        <v>0</v>
      </c>
    </row>
    <row r="79" spans="33:226" x14ac:dyDescent="0.25">
      <c r="AG79" s="36">
        <v>9</v>
      </c>
      <c r="AH79" s="138">
        <f t="shared" si="173"/>
        <v>17</v>
      </c>
      <c r="AI79" s="36">
        <f t="shared" si="174"/>
        <v>17</v>
      </c>
      <c r="AJ79" s="36">
        <f t="shared" si="175"/>
        <v>18</v>
      </c>
      <c r="AK79" s="36">
        <f t="shared" si="176"/>
        <v>18</v>
      </c>
      <c r="AL79" s="36">
        <f t="shared" si="177"/>
        <v>17</v>
      </c>
      <c r="AM79" s="36">
        <f t="shared" si="178"/>
        <v>17</v>
      </c>
      <c r="AN79" s="36">
        <f t="shared" si="179"/>
        <v>18</v>
      </c>
      <c r="AO79" s="36">
        <f t="shared" si="180"/>
        <v>18</v>
      </c>
      <c r="AP79" s="36">
        <f t="shared" si="181"/>
        <v>17</v>
      </c>
      <c r="AQ79" s="36">
        <f t="shared" si="182"/>
        <v>17</v>
      </c>
      <c r="AR79" s="36">
        <f t="shared" si="183"/>
        <v>18</v>
      </c>
      <c r="AS79" s="36">
        <f t="shared" si="184"/>
        <v>18</v>
      </c>
      <c r="AT79" s="36">
        <f t="shared" si="185"/>
        <v>17</v>
      </c>
      <c r="AU79" s="36">
        <f t="shared" si="186"/>
        <v>17</v>
      </c>
      <c r="AV79" s="36">
        <f t="shared" si="187"/>
        <v>0</v>
      </c>
      <c r="AW79" s="36">
        <f t="shared" si="188"/>
        <v>0</v>
      </c>
      <c r="AX79" s="36">
        <f t="shared" si="189"/>
        <v>0</v>
      </c>
      <c r="AY79" s="36">
        <f t="shared" si="190"/>
        <v>0</v>
      </c>
      <c r="AZ79" s="36">
        <f t="shared" si="191"/>
        <v>0</v>
      </c>
      <c r="BA79" s="36">
        <f t="shared" si="192"/>
        <v>0</v>
      </c>
      <c r="BB79" s="36">
        <f t="shared" si="193"/>
        <v>0</v>
      </c>
      <c r="BC79" s="36">
        <f t="shared" si="194"/>
        <v>0</v>
      </c>
      <c r="BD79" s="36">
        <f t="shared" si="195"/>
        <v>0</v>
      </c>
      <c r="BE79" s="36">
        <f t="shared" si="196"/>
        <v>0</v>
      </c>
      <c r="BF79" s="36">
        <f t="shared" si="197"/>
        <v>0</v>
      </c>
      <c r="BG79" s="36">
        <f t="shared" si="198"/>
        <v>0</v>
      </c>
      <c r="BH79" s="149">
        <f t="shared" si="199"/>
        <v>0</v>
      </c>
    </row>
    <row r="80" spans="33:226" x14ac:dyDescent="0.25">
      <c r="AG80" s="36">
        <v>10</v>
      </c>
      <c r="AH80" s="138">
        <f t="shared" si="173"/>
        <v>19</v>
      </c>
      <c r="AI80" s="36">
        <f t="shared" si="174"/>
        <v>19</v>
      </c>
      <c r="AJ80" s="36">
        <f t="shared" si="175"/>
        <v>20</v>
      </c>
      <c r="AK80" s="36">
        <f t="shared" si="176"/>
        <v>20</v>
      </c>
      <c r="AL80" s="36">
        <f t="shared" si="177"/>
        <v>19</v>
      </c>
      <c r="AM80" s="36">
        <f t="shared" si="178"/>
        <v>19</v>
      </c>
      <c r="AN80" s="36">
        <f t="shared" si="179"/>
        <v>20</v>
      </c>
      <c r="AO80" s="36">
        <f t="shared" si="180"/>
        <v>20</v>
      </c>
      <c r="AP80" s="36">
        <f t="shared" si="181"/>
        <v>19</v>
      </c>
      <c r="AQ80" s="36">
        <f t="shared" si="182"/>
        <v>19</v>
      </c>
      <c r="AR80" s="36">
        <f t="shared" si="183"/>
        <v>20</v>
      </c>
      <c r="AS80" s="36">
        <f t="shared" si="184"/>
        <v>20</v>
      </c>
      <c r="AT80" s="36">
        <f t="shared" si="185"/>
        <v>19</v>
      </c>
      <c r="AU80" s="36">
        <f t="shared" si="186"/>
        <v>0</v>
      </c>
      <c r="AV80" s="36">
        <f t="shared" si="187"/>
        <v>0</v>
      </c>
      <c r="AW80" s="36">
        <f t="shared" si="188"/>
        <v>0</v>
      </c>
      <c r="AX80" s="36">
        <f t="shared" si="189"/>
        <v>0</v>
      </c>
      <c r="AY80" s="36">
        <f t="shared" si="190"/>
        <v>0</v>
      </c>
      <c r="AZ80" s="36">
        <f t="shared" si="191"/>
        <v>0</v>
      </c>
      <c r="BA80" s="36">
        <f t="shared" si="192"/>
        <v>0</v>
      </c>
      <c r="BB80" s="36">
        <f t="shared" si="193"/>
        <v>0</v>
      </c>
      <c r="BC80" s="36">
        <f t="shared" si="194"/>
        <v>0</v>
      </c>
      <c r="BD80" s="36">
        <f t="shared" si="195"/>
        <v>0</v>
      </c>
      <c r="BE80" s="36">
        <f t="shared" si="196"/>
        <v>0</v>
      </c>
      <c r="BF80" s="36">
        <f t="shared" si="197"/>
        <v>0</v>
      </c>
      <c r="BG80" s="36">
        <f t="shared" si="198"/>
        <v>0</v>
      </c>
      <c r="BH80" s="149">
        <f t="shared" si="199"/>
        <v>0</v>
      </c>
    </row>
    <row r="81" spans="33:60" x14ac:dyDescent="0.25">
      <c r="AG81" s="36">
        <v>11</v>
      </c>
      <c r="AH81" s="138">
        <f t="shared" si="173"/>
        <v>21</v>
      </c>
      <c r="AI81" s="36">
        <f t="shared" si="174"/>
        <v>21</v>
      </c>
      <c r="AJ81" s="36">
        <f t="shared" si="175"/>
        <v>22</v>
      </c>
      <c r="AK81" s="36">
        <f t="shared" si="176"/>
        <v>22</v>
      </c>
      <c r="AL81" s="36">
        <f t="shared" si="177"/>
        <v>21</v>
      </c>
      <c r="AM81" s="36">
        <f t="shared" si="178"/>
        <v>21</v>
      </c>
      <c r="AN81" s="36">
        <f t="shared" si="179"/>
        <v>22</v>
      </c>
      <c r="AO81" s="36">
        <f t="shared" si="180"/>
        <v>22</v>
      </c>
      <c r="AP81" s="36">
        <f t="shared" si="181"/>
        <v>21</v>
      </c>
      <c r="AQ81" s="36">
        <f t="shared" si="182"/>
        <v>21</v>
      </c>
      <c r="AR81" s="36">
        <f t="shared" si="183"/>
        <v>0</v>
      </c>
      <c r="AS81" s="36">
        <f t="shared" si="184"/>
        <v>0</v>
      </c>
      <c r="AT81" s="36">
        <f t="shared" si="185"/>
        <v>0</v>
      </c>
      <c r="AU81" s="36">
        <f t="shared" si="186"/>
        <v>0</v>
      </c>
      <c r="AV81" s="36">
        <f t="shared" si="187"/>
        <v>0</v>
      </c>
      <c r="AW81" s="36">
        <f t="shared" si="188"/>
        <v>0</v>
      </c>
      <c r="AX81" s="36">
        <f t="shared" si="189"/>
        <v>0</v>
      </c>
      <c r="AY81" s="36">
        <f t="shared" si="190"/>
        <v>0</v>
      </c>
      <c r="AZ81" s="36">
        <f t="shared" si="191"/>
        <v>0</v>
      </c>
      <c r="BA81" s="36">
        <f t="shared" si="192"/>
        <v>0</v>
      </c>
      <c r="BB81" s="36">
        <f t="shared" si="193"/>
        <v>0</v>
      </c>
      <c r="BC81" s="36">
        <f t="shared" si="194"/>
        <v>0</v>
      </c>
      <c r="BD81" s="36">
        <f t="shared" si="195"/>
        <v>0</v>
      </c>
      <c r="BE81" s="36">
        <f t="shared" si="196"/>
        <v>0</v>
      </c>
      <c r="BF81" s="36">
        <f t="shared" si="197"/>
        <v>0</v>
      </c>
      <c r="BG81" s="36">
        <f t="shared" si="198"/>
        <v>0</v>
      </c>
      <c r="BH81" s="149">
        <f t="shared" si="199"/>
        <v>0</v>
      </c>
    </row>
    <row r="82" spans="33:60" x14ac:dyDescent="0.25">
      <c r="AG82" s="36">
        <v>12</v>
      </c>
      <c r="AH82" s="138">
        <f t="shared" si="173"/>
        <v>23</v>
      </c>
      <c r="AI82" s="36">
        <f t="shared" si="174"/>
        <v>23</v>
      </c>
      <c r="AJ82" s="36">
        <f t="shared" si="175"/>
        <v>24</v>
      </c>
      <c r="AK82" s="36">
        <f t="shared" si="176"/>
        <v>24</v>
      </c>
      <c r="AL82" s="36">
        <f t="shared" si="177"/>
        <v>23</v>
      </c>
      <c r="AM82" s="36">
        <f t="shared" si="178"/>
        <v>23</v>
      </c>
      <c r="AN82" s="36">
        <f t="shared" si="179"/>
        <v>24</v>
      </c>
      <c r="AO82" s="36">
        <f t="shared" si="180"/>
        <v>24</v>
      </c>
      <c r="AP82" s="36">
        <f t="shared" si="181"/>
        <v>23</v>
      </c>
      <c r="AQ82" s="36">
        <f t="shared" si="182"/>
        <v>0</v>
      </c>
      <c r="AR82" s="36">
        <f t="shared" si="183"/>
        <v>0</v>
      </c>
      <c r="AS82" s="36">
        <f t="shared" si="184"/>
        <v>0</v>
      </c>
      <c r="AT82" s="36">
        <f t="shared" si="185"/>
        <v>0</v>
      </c>
      <c r="AU82" s="36">
        <f t="shared" si="186"/>
        <v>0</v>
      </c>
      <c r="AV82" s="36">
        <f t="shared" si="187"/>
        <v>0</v>
      </c>
      <c r="AW82" s="36">
        <f t="shared" si="188"/>
        <v>0</v>
      </c>
      <c r="AX82" s="36">
        <f t="shared" si="189"/>
        <v>0</v>
      </c>
      <c r="AY82" s="36">
        <f t="shared" si="190"/>
        <v>0</v>
      </c>
      <c r="AZ82" s="36">
        <f t="shared" si="191"/>
        <v>0</v>
      </c>
      <c r="BA82" s="36">
        <f t="shared" si="192"/>
        <v>0</v>
      </c>
      <c r="BB82" s="36">
        <f t="shared" si="193"/>
        <v>0</v>
      </c>
      <c r="BC82" s="36">
        <f t="shared" si="194"/>
        <v>0</v>
      </c>
      <c r="BD82" s="36">
        <f t="shared" si="195"/>
        <v>0</v>
      </c>
      <c r="BE82" s="36">
        <f t="shared" si="196"/>
        <v>0</v>
      </c>
      <c r="BF82" s="36">
        <f t="shared" si="197"/>
        <v>0</v>
      </c>
      <c r="BG82" s="36">
        <f t="shared" si="198"/>
        <v>0</v>
      </c>
      <c r="BH82" s="149">
        <f t="shared" si="199"/>
        <v>0</v>
      </c>
    </row>
    <row r="83" spans="33:60" x14ac:dyDescent="0.25">
      <c r="AG83" s="36">
        <v>13</v>
      </c>
      <c r="AH83" s="138">
        <f t="shared" si="173"/>
        <v>25</v>
      </c>
      <c r="AI83" s="36">
        <f t="shared" si="174"/>
        <v>25</v>
      </c>
      <c r="AJ83" s="36">
        <f t="shared" si="175"/>
        <v>26</v>
      </c>
      <c r="AK83" s="36">
        <f t="shared" si="176"/>
        <v>26</v>
      </c>
      <c r="AL83" s="36">
        <f t="shared" si="177"/>
        <v>25</v>
      </c>
      <c r="AM83" s="36">
        <f t="shared" si="178"/>
        <v>25</v>
      </c>
      <c r="AN83" s="36">
        <f t="shared" si="179"/>
        <v>0</v>
      </c>
      <c r="AO83" s="36">
        <f t="shared" si="180"/>
        <v>0</v>
      </c>
      <c r="AP83" s="36">
        <f t="shared" si="181"/>
        <v>0</v>
      </c>
      <c r="AQ83" s="36">
        <f t="shared" si="182"/>
        <v>0</v>
      </c>
      <c r="AR83" s="36">
        <f t="shared" si="183"/>
        <v>0</v>
      </c>
      <c r="AS83" s="36">
        <f t="shared" si="184"/>
        <v>0</v>
      </c>
      <c r="AT83" s="36">
        <f t="shared" si="185"/>
        <v>0</v>
      </c>
      <c r="AU83" s="36">
        <f t="shared" si="186"/>
        <v>0</v>
      </c>
      <c r="AV83" s="36">
        <f t="shared" si="187"/>
        <v>0</v>
      </c>
      <c r="AW83" s="36">
        <f t="shared" si="188"/>
        <v>0</v>
      </c>
      <c r="AX83" s="36">
        <f t="shared" si="189"/>
        <v>0</v>
      </c>
      <c r="AY83" s="36">
        <f t="shared" si="190"/>
        <v>0</v>
      </c>
      <c r="AZ83" s="36">
        <f t="shared" si="191"/>
        <v>0</v>
      </c>
      <c r="BA83" s="36">
        <f t="shared" si="192"/>
        <v>0</v>
      </c>
      <c r="BB83" s="36">
        <f t="shared" si="193"/>
        <v>0</v>
      </c>
      <c r="BC83" s="36">
        <f t="shared" si="194"/>
        <v>0</v>
      </c>
      <c r="BD83" s="36">
        <f t="shared" si="195"/>
        <v>0</v>
      </c>
      <c r="BE83" s="36">
        <f t="shared" si="196"/>
        <v>0</v>
      </c>
      <c r="BF83" s="36">
        <f t="shared" si="197"/>
        <v>0</v>
      </c>
      <c r="BG83" s="36">
        <f t="shared" si="198"/>
        <v>0</v>
      </c>
      <c r="BH83" s="149">
        <f t="shared" si="199"/>
        <v>0</v>
      </c>
    </row>
    <row r="84" spans="33:60" x14ac:dyDescent="0.25">
      <c r="AG84" s="36">
        <v>14</v>
      </c>
      <c r="AH84" s="138">
        <f t="shared" si="173"/>
        <v>27</v>
      </c>
      <c r="AI84" s="36">
        <f t="shared" si="174"/>
        <v>27</v>
      </c>
      <c r="AJ84" s="36">
        <f t="shared" si="175"/>
        <v>28</v>
      </c>
      <c r="AK84" s="36">
        <f t="shared" si="176"/>
        <v>28</v>
      </c>
      <c r="AL84" s="36">
        <f t="shared" si="177"/>
        <v>27</v>
      </c>
      <c r="AM84" s="36">
        <f t="shared" si="178"/>
        <v>0</v>
      </c>
      <c r="AN84" s="36">
        <f t="shared" si="179"/>
        <v>0</v>
      </c>
      <c r="AO84" s="36">
        <f t="shared" si="180"/>
        <v>0</v>
      </c>
      <c r="AP84" s="36">
        <f t="shared" si="181"/>
        <v>0</v>
      </c>
      <c r="AQ84" s="36">
        <f t="shared" si="182"/>
        <v>0</v>
      </c>
      <c r="AR84" s="36">
        <f t="shared" si="183"/>
        <v>0</v>
      </c>
      <c r="AS84" s="36">
        <f t="shared" si="184"/>
        <v>0</v>
      </c>
      <c r="AT84" s="36">
        <f t="shared" si="185"/>
        <v>0</v>
      </c>
      <c r="AU84" s="36">
        <f t="shared" si="186"/>
        <v>0</v>
      </c>
      <c r="AV84" s="36">
        <f t="shared" si="187"/>
        <v>0</v>
      </c>
      <c r="AW84" s="36">
        <f t="shared" si="188"/>
        <v>0</v>
      </c>
      <c r="AX84" s="36">
        <f t="shared" si="189"/>
        <v>0</v>
      </c>
      <c r="AY84" s="36">
        <f t="shared" si="190"/>
        <v>0</v>
      </c>
      <c r="AZ84" s="36">
        <f t="shared" si="191"/>
        <v>0</v>
      </c>
      <c r="BA84" s="36">
        <f t="shared" si="192"/>
        <v>0</v>
      </c>
      <c r="BB84" s="36">
        <f t="shared" si="193"/>
        <v>0</v>
      </c>
      <c r="BC84" s="36">
        <f t="shared" si="194"/>
        <v>0</v>
      </c>
      <c r="BD84" s="36">
        <f t="shared" si="195"/>
        <v>0</v>
      </c>
      <c r="BE84" s="36">
        <f t="shared" si="196"/>
        <v>0</v>
      </c>
      <c r="BF84" s="36">
        <f t="shared" si="197"/>
        <v>0</v>
      </c>
      <c r="BG84" s="36">
        <f t="shared" si="198"/>
        <v>0</v>
      </c>
      <c r="BH84" s="149">
        <f t="shared" si="199"/>
        <v>0</v>
      </c>
    </row>
    <row r="85" spans="33:60" x14ac:dyDescent="0.25">
      <c r="AG85" s="36">
        <v>15</v>
      </c>
      <c r="AH85" s="138">
        <f t="shared" si="173"/>
        <v>29</v>
      </c>
      <c r="AI85" s="36">
        <f t="shared" si="174"/>
        <v>29</v>
      </c>
      <c r="AJ85" s="36">
        <f t="shared" si="175"/>
        <v>0</v>
      </c>
      <c r="AK85" s="36">
        <f t="shared" si="176"/>
        <v>0</v>
      </c>
      <c r="AL85" s="36">
        <f t="shared" si="177"/>
        <v>0</v>
      </c>
      <c r="AM85" s="36">
        <f t="shared" si="178"/>
        <v>0</v>
      </c>
      <c r="AN85" s="36">
        <f t="shared" si="179"/>
        <v>0</v>
      </c>
      <c r="AO85" s="36">
        <f t="shared" si="180"/>
        <v>0</v>
      </c>
      <c r="AP85" s="36">
        <f t="shared" si="181"/>
        <v>0</v>
      </c>
      <c r="AQ85" s="36">
        <f t="shared" si="182"/>
        <v>0</v>
      </c>
      <c r="AR85" s="36">
        <f t="shared" si="183"/>
        <v>0</v>
      </c>
      <c r="AS85" s="36">
        <f t="shared" si="184"/>
        <v>0</v>
      </c>
      <c r="AT85" s="36">
        <f t="shared" si="185"/>
        <v>0</v>
      </c>
      <c r="AU85" s="36">
        <f t="shared" si="186"/>
        <v>0</v>
      </c>
      <c r="AV85" s="36">
        <f t="shared" si="187"/>
        <v>0</v>
      </c>
      <c r="AW85" s="36">
        <f t="shared" si="188"/>
        <v>0</v>
      </c>
      <c r="AX85" s="36">
        <f t="shared" si="189"/>
        <v>0</v>
      </c>
      <c r="AY85" s="36">
        <f t="shared" si="190"/>
        <v>0</v>
      </c>
      <c r="AZ85" s="36">
        <f t="shared" si="191"/>
        <v>0</v>
      </c>
      <c r="BA85" s="36">
        <f t="shared" si="192"/>
        <v>0</v>
      </c>
      <c r="BB85" s="36">
        <f t="shared" si="193"/>
        <v>0</v>
      </c>
      <c r="BC85" s="36">
        <f t="shared" si="194"/>
        <v>0</v>
      </c>
      <c r="BD85" s="36">
        <f t="shared" si="195"/>
        <v>0</v>
      </c>
      <c r="BE85" s="36">
        <f t="shared" si="196"/>
        <v>0</v>
      </c>
      <c r="BF85" s="36">
        <f t="shared" si="197"/>
        <v>0</v>
      </c>
      <c r="BG85" s="36">
        <f t="shared" si="198"/>
        <v>0</v>
      </c>
      <c r="BH85" s="149">
        <f t="shared" si="199"/>
        <v>0</v>
      </c>
    </row>
    <row r="86" spans="33:60" x14ac:dyDescent="0.25">
      <c r="AG86" s="36">
        <v>16</v>
      </c>
      <c r="AH86" s="142">
        <f t="shared" si="173"/>
        <v>31</v>
      </c>
      <c r="AI86" s="83">
        <f t="shared" si="174"/>
        <v>0</v>
      </c>
      <c r="AJ86" s="83">
        <f t="shared" si="175"/>
        <v>0</v>
      </c>
      <c r="AK86" s="83">
        <f t="shared" si="176"/>
        <v>0</v>
      </c>
      <c r="AL86" s="83">
        <f t="shared" si="177"/>
        <v>0</v>
      </c>
      <c r="AM86" s="83">
        <f t="shared" si="178"/>
        <v>0</v>
      </c>
      <c r="AN86" s="83">
        <f t="shared" si="179"/>
        <v>0</v>
      </c>
      <c r="AO86" s="83">
        <f t="shared" si="180"/>
        <v>0</v>
      </c>
      <c r="AP86" s="83">
        <f t="shared" si="181"/>
        <v>0</v>
      </c>
      <c r="AQ86" s="83">
        <f t="shared" si="182"/>
        <v>0</v>
      </c>
      <c r="AR86" s="83">
        <f t="shared" si="183"/>
        <v>0</v>
      </c>
      <c r="AS86" s="83">
        <f t="shared" si="184"/>
        <v>0</v>
      </c>
      <c r="AT86" s="83">
        <f t="shared" si="185"/>
        <v>0</v>
      </c>
      <c r="AU86" s="83">
        <f t="shared" si="186"/>
        <v>0</v>
      </c>
      <c r="AV86" s="83">
        <f t="shared" si="187"/>
        <v>0</v>
      </c>
      <c r="AW86" s="83">
        <f t="shared" si="188"/>
        <v>0</v>
      </c>
      <c r="AX86" s="83">
        <f t="shared" si="189"/>
        <v>0</v>
      </c>
      <c r="AY86" s="83">
        <f t="shared" si="190"/>
        <v>0</v>
      </c>
      <c r="AZ86" s="83">
        <f t="shared" si="191"/>
        <v>0</v>
      </c>
      <c r="BA86" s="83">
        <f t="shared" si="192"/>
        <v>0</v>
      </c>
      <c r="BB86" s="83">
        <f t="shared" si="193"/>
        <v>0</v>
      </c>
      <c r="BC86" s="83">
        <f t="shared" si="194"/>
        <v>0</v>
      </c>
      <c r="BD86" s="83">
        <f t="shared" si="195"/>
        <v>0</v>
      </c>
      <c r="BE86" s="83">
        <f t="shared" si="196"/>
        <v>0</v>
      </c>
      <c r="BF86" s="83">
        <f t="shared" si="197"/>
        <v>0</v>
      </c>
      <c r="BG86" s="83">
        <f t="shared" si="198"/>
        <v>0</v>
      </c>
      <c r="BH86" s="143">
        <f t="shared" si="199"/>
        <v>0</v>
      </c>
    </row>
    <row r="88" spans="33:60" x14ac:dyDescent="0.25">
      <c r="AG88" s="67" t="str">
        <f>AG68</f>
        <v>1. kolo</v>
      </c>
      <c r="AI88" s="67" t="str">
        <f>[1]List1!$A$49</f>
        <v>modrý</v>
      </c>
    </row>
    <row r="89" spans="33:60" x14ac:dyDescent="0.25">
      <c r="AH89" s="36">
        <v>32</v>
      </c>
      <c r="AI89" s="36">
        <f t="shared" ref="AI89:BH89" si="200">AH89-1</f>
        <v>31</v>
      </c>
      <c r="AJ89" s="36">
        <f t="shared" si="200"/>
        <v>30</v>
      </c>
      <c r="AK89" s="36">
        <f t="shared" si="200"/>
        <v>29</v>
      </c>
      <c r="AL89" s="36">
        <f t="shared" si="200"/>
        <v>28</v>
      </c>
      <c r="AM89" s="36">
        <f t="shared" si="200"/>
        <v>27</v>
      </c>
      <c r="AN89" s="36">
        <f t="shared" si="200"/>
        <v>26</v>
      </c>
      <c r="AO89" s="36">
        <f t="shared" si="200"/>
        <v>25</v>
      </c>
      <c r="AP89" s="36">
        <f t="shared" si="200"/>
        <v>24</v>
      </c>
      <c r="AQ89" s="36">
        <f t="shared" si="200"/>
        <v>23</v>
      </c>
      <c r="AR89" s="36">
        <f t="shared" si="200"/>
        <v>22</v>
      </c>
      <c r="AS89" s="36">
        <f t="shared" si="200"/>
        <v>21</v>
      </c>
      <c r="AT89" s="36">
        <f t="shared" si="200"/>
        <v>20</v>
      </c>
      <c r="AU89" s="36">
        <f t="shared" si="200"/>
        <v>19</v>
      </c>
      <c r="AV89" s="36">
        <f t="shared" si="200"/>
        <v>18</v>
      </c>
      <c r="AW89" s="36">
        <f t="shared" si="200"/>
        <v>17</v>
      </c>
      <c r="AX89" s="36">
        <f t="shared" si="200"/>
        <v>16</v>
      </c>
      <c r="AY89" s="36">
        <f t="shared" si="200"/>
        <v>15</v>
      </c>
      <c r="AZ89" s="36">
        <f t="shared" si="200"/>
        <v>14</v>
      </c>
      <c r="BA89" s="36">
        <f t="shared" si="200"/>
        <v>13</v>
      </c>
      <c r="BB89" s="36">
        <f t="shared" si="200"/>
        <v>12</v>
      </c>
      <c r="BC89" s="36">
        <f t="shared" si="200"/>
        <v>11</v>
      </c>
      <c r="BD89" s="36">
        <f t="shared" si="200"/>
        <v>10</v>
      </c>
      <c r="BE89" s="36">
        <f t="shared" si="200"/>
        <v>9</v>
      </c>
      <c r="BF89" s="36">
        <f t="shared" si="200"/>
        <v>8</v>
      </c>
      <c r="BG89" s="36">
        <f t="shared" si="200"/>
        <v>7</v>
      </c>
      <c r="BH89" s="36">
        <f t="shared" si="200"/>
        <v>6</v>
      </c>
    </row>
    <row r="90" spans="33:60" x14ac:dyDescent="0.25">
      <c r="AH90" s="36">
        <v>1</v>
      </c>
      <c r="AI90" s="36">
        <f t="shared" ref="AI90:BH90" si="201">AH90+1</f>
        <v>2</v>
      </c>
      <c r="AJ90" s="36">
        <f t="shared" si="201"/>
        <v>3</v>
      </c>
      <c r="AK90" s="36">
        <f t="shared" si="201"/>
        <v>4</v>
      </c>
      <c r="AL90" s="36">
        <f t="shared" si="201"/>
        <v>5</v>
      </c>
      <c r="AM90" s="36">
        <f t="shared" si="201"/>
        <v>6</v>
      </c>
      <c r="AN90" s="36">
        <f t="shared" si="201"/>
        <v>7</v>
      </c>
      <c r="AO90" s="36">
        <f t="shared" si="201"/>
        <v>8</v>
      </c>
      <c r="AP90" s="36">
        <f t="shared" si="201"/>
        <v>9</v>
      </c>
      <c r="AQ90" s="36">
        <f t="shared" si="201"/>
        <v>10</v>
      </c>
      <c r="AR90" s="36">
        <f t="shared" si="201"/>
        <v>11</v>
      </c>
      <c r="AS90" s="36">
        <f t="shared" si="201"/>
        <v>12</v>
      </c>
      <c r="AT90" s="36">
        <f t="shared" si="201"/>
        <v>13</v>
      </c>
      <c r="AU90" s="36">
        <f t="shared" si="201"/>
        <v>14</v>
      </c>
      <c r="AV90" s="36">
        <f t="shared" si="201"/>
        <v>15</v>
      </c>
      <c r="AW90" s="36">
        <f t="shared" si="201"/>
        <v>16</v>
      </c>
      <c r="AX90" s="36">
        <f t="shared" si="201"/>
        <v>17</v>
      </c>
      <c r="AY90" s="36">
        <f t="shared" si="201"/>
        <v>18</v>
      </c>
      <c r="AZ90" s="36">
        <f t="shared" si="201"/>
        <v>19</v>
      </c>
      <c r="BA90" s="36">
        <f t="shared" si="201"/>
        <v>20</v>
      </c>
      <c r="BB90" s="36">
        <f t="shared" si="201"/>
        <v>21</v>
      </c>
      <c r="BC90" s="36">
        <f t="shared" si="201"/>
        <v>22</v>
      </c>
      <c r="BD90" s="36">
        <f t="shared" si="201"/>
        <v>23</v>
      </c>
      <c r="BE90" s="36">
        <f t="shared" si="201"/>
        <v>24</v>
      </c>
      <c r="BF90" s="36">
        <f t="shared" si="201"/>
        <v>25</v>
      </c>
      <c r="BG90" s="36">
        <f t="shared" si="201"/>
        <v>26</v>
      </c>
      <c r="BH90" s="36">
        <f t="shared" si="201"/>
        <v>27</v>
      </c>
    </row>
    <row r="91" spans="33:60" x14ac:dyDescent="0.25">
      <c r="AG91" s="36">
        <v>1</v>
      </c>
      <c r="AH91" s="140">
        <f>AJ51</f>
        <v>2</v>
      </c>
      <c r="AI91" s="85">
        <f>AP51</f>
        <v>2</v>
      </c>
      <c r="AJ91" s="85">
        <f>AV51</f>
        <v>2</v>
      </c>
      <c r="AK91" s="85">
        <f>BB51</f>
        <v>2</v>
      </c>
      <c r="AL91" s="85">
        <f>BH51</f>
        <v>2</v>
      </c>
      <c r="AM91" s="85">
        <f>BN51</f>
        <v>2</v>
      </c>
      <c r="AN91" s="85">
        <f>BT51</f>
        <v>2</v>
      </c>
      <c r="AO91" s="85">
        <f>BZ51</f>
        <v>2</v>
      </c>
      <c r="AP91" s="85">
        <f>CF51</f>
        <v>2</v>
      </c>
      <c r="AQ91" s="85">
        <f>CL51</f>
        <v>2</v>
      </c>
      <c r="AR91" s="85">
        <f>CR51</f>
        <v>2</v>
      </c>
      <c r="AS91" s="85">
        <f>CX51</f>
        <v>2</v>
      </c>
      <c r="AT91" s="85">
        <f>DD51</f>
        <v>2</v>
      </c>
      <c r="AU91" s="85">
        <f>DJ51</f>
        <v>2</v>
      </c>
      <c r="AV91" s="85">
        <f>DP51</f>
        <v>2</v>
      </c>
      <c r="AW91" s="85">
        <f>DV51</f>
        <v>2</v>
      </c>
      <c r="AX91" s="85">
        <f>EB51</f>
        <v>2</v>
      </c>
      <c r="AY91" s="85">
        <f>EH51</f>
        <v>2</v>
      </c>
      <c r="AZ91" s="85">
        <f>EN51</f>
        <v>2</v>
      </c>
      <c r="BA91" s="85">
        <f>ET51</f>
        <v>2</v>
      </c>
      <c r="BB91" s="85">
        <f>EZ51</f>
        <v>2</v>
      </c>
      <c r="BC91" s="85">
        <f>FF51</f>
        <v>2</v>
      </c>
      <c r="BD91" s="85">
        <f>FL51</f>
        <v>2</v>
      </c>
      <c r="BE91" s="85">
        <f>FR51</f>
        <v>2</v>
      </c>
      <c r="BF91" s="85">
        <f>FX51</f>
        <v>2</v>
      </c>
      <c r="BG91" s="85">
        <f>GD51</f>
        <v>2</v>
      </c>
      <c r="BH91" s="141">
        <f>GJ51</f>
        <v>2</v>
      </c>
    </row>
    <row r="92" spans="33:60" x14ac:dyDescent="0.25">
      <c r="AG92" s="36">
        <v>2</v>
      </c>
      <c r="AH92" s="138">
        <f>AJ52</f>
        <v>4</v>
      </c>
      <c r="AI92" s="36">
        <f t="shared" ref="AI92:AI106" si="202">AP52</f>
        <v>4</v>
      </c>
      <c r="AJ92" s="36">
        <f t="shared" ref="AJ92:AJ106" si="203">AV52</f>
        <v>4</v>
      </c>
      <c r="AK92" s="36">
        <f t="shared" ref="AK92:AK106" si="204">BB52</f>
        <v>4</v>
      </c>
      <c r="AL92" s="36">
        <f t="shared" ref="AL92:AL106" si="205">BH52</f>
        <v>4</v>
      </c>
      <c r="AM92" s="36">
        <f t="shared" ref="AM92:AM106" si="206">BN52</f>
        <v>4</v>
      </c>
      <c r="AN92" s="36">
        <f t="shared" ref="AN92:AN106" si="207">BT52</f>
        <v>4</v>
      </c>
      <c r="AO92" s="36">
        <f t="shared" ref="AO92:AO106" si="208">BZ52</f>
        <v>4</v>
      </c>
      <c r="AP92" s="36">
        <f t="shared" ref="AP92:AP106" si="209">CF52</f>
        <v>4</v>
      </c>
      <c r="AQ92" s="36">
        <f t="shared" ref="AQ92:AQ106" si="210">CL52</f>
        <v>4</v>
      </c>
      <c r="AR92" s="36">
        <f t="shared" ref="AR92:AR106" si="211">CR52</f>
        <v>4</v>
      </c>
      <c r="AS92" s="36">
        <f t="shared" ref="AS92:AS106" si="212">CX52</f>
        <v>4</v>
      </c>
      <c r="AT92" s="36">
        <f t="shared" ref="AT92:AT106" si="213">DD52</f>
        <v>4</v>
      </c>
      <c r="AU92" s="36">
        <f t="shared" ref="AU92:AU106" si="214">DJ52</f>
        <v>4</v>
      </c>
      <c r="AV92" s="36">
        <f t="shared" ref="AV92:AV106" si="215">DP52</f>
        <v>4</v>
      </c>
      <c r="AW92" s="36">
        <f t="shared" ref="AW92:AW106" si="216">DV52</f>
        <v>4</v>
      </c>
      <c r="AX92" s="36">
        <f t="shared" ref="AX92:AX106" si="217">EB52</f>
        <v>4</v>
      </c>
      <c r="AY92" s="36">
        <f t="shared" ref="AY92:AY106" si="218">EH52</f>
        <v>4</v>
      </c>
      <c r="AZ92" s="36">
        <f t="shared" ref="AZ92:AZ106" si="219">EN52</f>
        <v>4</v>
      </c>
      <c r="BA92" s="36">
        <f t="shared" ref="BA92:BA106" si="220">ET52</f>
        <v>4</v>
      </c>
      <c r="BB92" s="36">
        <f t="shared" ref="BB92:BB106" si="221">EZ52</f>
        <v>4</v>
      </c>
      <c r="BC92" s="36">
        <f t="shared" ref="BC92:BC106" si="222">FF52</f>
        <v>4</v>
      </c>
      <c r="BD92" s="36">
        <f t="shared" ref="BD92:BD106" si="223">FL52</f>
        <v>4</v>
      </c>
      <c r="BE92" s="36">
        <f t="shared" ref="BE92:BE106" si="224">FR52</f>
        <v>4</v>
      </c>
      <c r="BF92" s="36">
        <f t="shared" ref="BF92:BF106" si="225">FX52</f>
        <v>4</v>
      </c>
      <c r="BG92" s="36">
        <f t="shared" ref="BG92:BG106" si="226">GD52</f>
        <v>4</v>
      </c>
      <c r="BH92" s="149">
        <f t="shared" ref="BH92:BH106" si="227">GJ52</f>
        <v>5</v>
      </c>
    </row>
    <row r="93" spans="33:60" x14ac:dyDescent="0.25">
      <c r="AG93" s="36">
        <v>3</v>
      </c>
      <c r="AH93" s="138">
        <f t="shared" ref="AH93:AH106" si="228">AJ53</f>
        <v>6</v>
      </c>
      <c r="AI93" s="36">
        <f t="shared" si="202"/>
        <v>6</v>
      </c>
      <c r="AJ93" s="36">
        <f t="shared" si="203"/>
        <v>6</v>
      </c>
      <c r="AK93" s="36">
        <f t="shared" si="204"/>
        <v>6</v>
      </c>
      <c r="AL93" s="36">
        <f t="shared" si="205"/>
        <v>6</v>
      </c>
      <c r="AM93" s="36">
        <f t="shared" si="206"/>
        <v>6</v>
      </c>
      <c r="AN93" s="36">
        <f t="shared" si="207"/>
        <v>6</v>
      </c>
      <c r="AO93" s="36">
        <f t="shared" si="208"/>
        <v>6</v>
      </c>
      <c r="AP93" s="36">
        <f t="shared" si="209"/>
        <v>6</v>
      </c>
      <c r="AQ93" s="36">
        <f t="shared" si="210"/>
        <v>6</v>
      </c>
      <c r="AR93" s="36">
        <f t="shared" si="211"/>
        <v>6</v>
      </c>
      <c r="AS93" s="36">
        <f t="shared" si="212"/>
        <v>6</v>
      </c>
      <c r="AT93" s="36">
        <f t="shared" si="213"/>
        <v>6</v>
      </c>
      <c r="AU93" s="36">
        <f t="shared" si="214"/>
        <v>6</v>
      </c>
      <c r="AV93" s="36">
        <f t="shared" si="215"/>
        <v>6</v>
      </c>
      <c r="AW93" s="36">
        <f t="shared" si="216"/>
        <v>6</v>
      </c>
      <c r="AX93" s="36">
        <f t="shared" si="217"/>
        <v>6</v>
      </c>
      <c r="AY93" s="36">
        <f t="shared" si="218"/>
        <v>6</v>
      </c>
      <c r="AZ93" s="36">
        <f t="shared" si="219"/>
        <v>6</v>
      </c>
      <c r="BA93" s="36">
        <f t="shared" si="220"/>
        <v>6</v>
      </c>
      <c r="BB93" s="36">
        <f t="shared" si="221"/>
        <v>6</v>
      </c>
      <c r="BC93" s="36">
        <f t="shared" si="222"/>
        <v>6</v>
      </c>
      <c r="BD93" s="36">
        <f t="shared" si="223"/>
        <v>7</v>
      </c>
      <c r="BE93" s="36">
        <f t="shared" si="224"/>
        <v>7</v>
      </c>
      <c r="BF93" s="36">
        <f t="shared" si="225"/>
        <v>6</v>
      </c>
      <c r="BG93" s="36">
        <f t="shared" si="226"/>
        <v>6</v>
      </c>
      <c r="BH93" s="149">
        <f t="shared" si="227"/>
        <v>0</v>
      </c>
    </row>
    <row r="94" spans="33:60" x14ac:dyDescent="0.25">
      <c r="AG94" s="36">
        <v>4</v>
      </c>
      <c r="AH94" s="138">
        <f t="shared" si="228"/>
        <v>8</v>
      </c>
      <c r="AI94" s="36">
        <f t="shared" si="202"/>
        <v>8</v>
      </c>
      <c r="AJ94" s="36">
        <f t="shared" si="203"/>
        <v>8</v>
      </c>
      <c r="AK94" s="36">
        <f t="shared" si="204"/>
        <v>8</v>
      </c>
      <c r="AL94" s="36">
        <f t="shared" si="205"/>
        <v>8</v>
      </c>
      <c r="AM94" s="36">
        <f t="shared" si="206"/>
        <v>8</v>
      </c>
      <c r="AN94" s="36">
        <f t="shared" si="207"/>
        <v>8</v>
      </c>
      <c r="AO94" s="36">
        <f t="shared" si="208"/>
        <v>8</v>
      </c>
      <c r="AP94" s="36">
        <f t="shared" si="209"/>
        <v>8</v>
      </c>
      <c r="AQ94" s="36">
        <f t="shared" si="210"/>
        <v>8</v>
      </c>
      <c r="AR94" s="36">
        <f t="shared" si="211"/>
        <v>8</v>
      </c>
      <c r="AS94" s="36">
        <f t="shared" si="212"/>
        <v>8</v>
      </c>
      <c r="AT94" s="36">
        <f t="shared" si="213"/>
        <v>8</v>
      </c>
      <c r="AU94" s="36">
        <f t="shared" si="214"/>
        <v>8</v>
      </c>
      <c r="AV94" s="36">
        <f t="shared" si="215"/>
        <v>8</v>
      </c>
      <c r="AW94" s="36">
        <f t="shared" si="216"/>
        <v>8</v>
      </c>
      <c r="AX94" s="36">
        <f t="shared" si="217"/>
        <v>8</v>
      </c>
      <c r="AY94" s="36">
        <f t="shared" si="218"/>
        <v>8</v>
      </c>
      <c r="AZ94" s="36">
        <f t="shared" si="219"/>
        <v>9</v>
      </c>
      <c r="BA94" s="36">
        <f t="shared" si="220"/>
        <v>9</v>
      </c>
      <c r="BB94" s="36">
        <f t="shared" si="221"/>
        <v>8</v>
      </c>
      <c r="BC94" s="36">
        <f t="shared" si="222"/>
        <v>8</v>
      </c>
      <c r="BD94" s="36">
        <f t="shared" si="223"/>
        <v>9</v>
      </c>
      <c r="BE94" s="36">
        <f t="shared" si="224"/>
        <v>9</v>
      </c>
      <c r="BF94" s="36">
        <f t="shared" si="225"/>
        <v>8</v>
      </c>
      <c r="BG94" s="36">
        <f t="shared" si="226"/>
        <v>0</v>
      </c>
      <c r="BH94" s="149">
        <f t="shared" si="227"/>
        <v>0</v>
      </c>
    </row>
    <row r="95" spans="33:60" x14ac:dyDescent="0.25">
      <c r="AG95" s="36">
        <v>5</v>
      </c>
      <c r="AH95" s="138">
        <f t="shared" si="228"/>
        <v>10</v>
      </c>
      <c r="AI95" s="36">
        <f t="shared" si="202"/>
        <v>10</v>
      </c>
      <c r="AJ95" s="36">
        <f t="shared" si="203"/>
        <v>10</v>
      </c>
      <c r="AK95" s="36">
        <f t="shared" si="204"/>
        <v>10</v>
      </c>
      <c r="AL95" s="36">
        <f t="shared" si="205"/>
        <v>10</v>
      </c>
      <c r="AM95" s="36">
        <f t="shared" si="206"/>
        <v>10</v>
      </c>
      <c r="AN95" s="36">
        <f t="shared" si="207"/>
        <v>10</v>
      </c>
      <c r="AO95" s="36">
        <f t="shared" si="208"/>
        <v>10</v>
      </c>
      <c r="AP95" s="36">
        <f t="shared" si="209"/>
        <v>10</v>
      </c>
      <c r="AQ95" s="36">
        <f t="shared" si="210"/>
        <v>10</v>
      </c>
      <c r="AR95" s="36">
        <f t="shared" si="211"/>
        <v>10</v>
      </c>
      <c r="AS95" s="36">
        <f t="shared" si="212"/>
        <v>10</v>
      </c>
      <c r="AT95" s="36">
        <f t="shared" si="213"/>
        <v>10</v>
      </c>
      <c r="AU95" s="36">
        <f t="shared" si="214"/>
        <v>10</v>
      </c>
      <c r="AV95" s="36">
        <f t="shared" si="215"/>
        <v>11</v>
      </c>
      <c r="AW95" s="36">
        <f t="shared" si="216"/>
        <v>11</v>
      </c>
      <c r="AX95" s="36">
        <f t="shared" si="217"/>
        <v>10</v>
      </c>
      <c r="AY95" s="36">
        <f t="shared" si="218"/>
        <v>10</v>
      </c>
      <c r="AZ95" s="36">
        <f t="shared" si="219"/>
        <v>11</v>
      </c>
      <c r="BA95" s="36">
        <f t="shared" si="220"/>
        <v>11</v>
      </c>
      <c r="BB95" s="36">
        <f t="shared" si="221"/>
        <v>10</v>
      </c>
      <c r="BC95" s="36">
        <f t="shared" si="222"/>
        <v>10</v>
      </c>
      <c r="BD95" s="36">
        <f t="shared" si="223"/>
        <v>0</v>
      </c>
      <c r="BE95" s="36">
        <f t="shared" si="224"/>
        <v>0</v>
      </c>
      <c r="BF95" s="36">
        <f t="shared" si="225"/>
        <v>0</v>
      </c>
      <c r="BG95" s="36">
        <f t="shared" si="226"/>
        <v>0</v>
      </c>
      <c r="BH95" s="149">
        <f t="shared" si="227"/>
        <v>0</v>
      </c>
    </row>
    <row r="96" spans="33:60" x14ac:dyDescent="0.25">
      <c r="AG96" s="36">
        <v>6</v>
      </c>
      <c r="AH96" s="138">
        <f t="shared" si="228"/>
        <v>12</v>
      </c>
      <c r="AI96" s="36">
        <f t="shared" si="202"/>
        <v>12</v>
      </c>
      <c r="AJ96" s="36">
        <f t="shared" si="203"/>
        <v>12</v>
      </c>
      <c r="AK96" s="36">
        <f t="shared" si="204"/>
        <v>12</v>
      </c>
      <c r="AL96" s="36">
        <f t="shared" si="205"/>
        <v>12</v>
      </c>
      <c r="AM96" s="36">
        <f t="shared" si="206"/>
        <v>12</v>
      </c>
      <c r="AN96" s="36">
        <f t="shared" si="207"/>
        <v>12</v>
      </c>
      <c r="AO96" s="36">
        <f t="shared" si="208"/>
        <v>12</v>
      </c>
      <c r="AP96" s="36">
        <f t="shared" si="209"/>
        <v>12</v>
      </c>
      <c r="AQ96" s="36">
        <f t="shared" si="210"/>
        <v>12</v>
      </c>
      <c r="AR96" s="36">
        <f t="shared" si="211"/>
        <v>13</v>
      </c>
      <c r="AS96" s="36">
        <f t="shared" si="212"/>
        <v>13</v>
      </c>
      <c r="AT96" s="36">
        <f t="shared" si="213"/>
        <v>12</v>
      </c>
      <c r="AU96" s="36">
        <f t="shared" si="214"/>
        <v>12</v>
      </c>
      <c r="AV96" s="36">
        <f t="shared" si="215"/>
        <v>13</v>
      </c>
      <c r="AW96" s="36">
        <f t="shared" si="216"/>
        <v>13</v>
      </c>
      <c r="AX96" s="36">
        <f t="shared" si="217"/>
        <v>12</v>
      </c>
      <c r="AY96" s="36">
        <f t="shared" si="218"/>
        <v>12</v>
      </c>
      <c r="AZ96" s="36">
        <f t="shared" si="219"/>
        <v>13</v>
      </c>
      <c r="BA96" s="36">
        <f t="shared" si="220"/>
        <v>13</v>
      </c>
      <c r="BB96" s="36">
        <f t="shared" si="221"/>
        <v>12</v>
      </c>
      <c r="BC96" s="36">
        <f t="shared" si="222"/>
        <v>0</v>
      </c>
      <c r="BD96" s="36">
        <f t="shared" si="223"/>
        <v>0</v>
      </c>
      <c r="BE96" s="36">
        <f t="shared" si="224"/>
        <v>0</v>
      </c>
      <c r="BF96" s="36">
        <f t="shared" si="225"/>
        <v>0</v>
      </c>
      <c r="BG96" s="36">
        <f t="shared" si="226"/>
        <v>0</v>
      </c>
      <c r="BH96" s="149">
        <f t="shared" si="227"/>
        <v>0</v>
      </c>
    </row>
    <row r="97" spans="33:60" x14ac:dyDescent="0.25">
      <c r="AG97" s="36">
        <v>7</v>
      </c>
      <c r="AH97" s="138">
        <f t="shared" si="228"/>
        <v>14</v>
      </c>
      <c r="AI97" s="36">
        <f t="shared" si="202"/>
        <v>14</v>
      </c>
      <c r="AJ97" s="36">
        <f t="shared" si="203"/>
        <v>14</v>
      </c>
      <c r="AK97" s="36">
        <f t="shared" si="204"/>
        <v>14</v>
      </c>
      <c r="AL97" s="36">
        <f t="shared" si="205"/>
        <v>14</v>
      </c>
      <c r="AM97" s="36">
        <f t="shared" si="206"/>
        <v>14</v>
      </c>
      <c r="AN97" s="36">
        <f t="shared" si="207"/>
        <v>15</v>
      </c>
      <c r="AO97" s="36">
        <f t="shared" si="208"/>
        <v>15</v>
      </c>
      <c r="AP97" s="36">
        <f t="shared" si="209"/>
        <v>14</v>
      </c>
      <c r="AQ97" s="36">
        <f t="shared" si="210"/>
        <v>14</v>
      </c>
      <c r="AR97" s="36">
        <f t="shared" si="211"/>
        <v>15</v>
      </c>
      <c r="AS97" s="36">
        <f t="shared" si="212"/>
        <v>15</v>
      </c>
      <c r="AT97" s="36">
        <f t="shared" si="213"/>
        <v>14</v>
      </c>
      <c r="AU97" s="36">
        <f t="shared" si="214"/>
        <v>14</v>
      </c>
      <c r="AV97" s="36">
        <f t="shared" si="215"/>
        <v>15</v>
      </c>
      <c r="AW97" s="36">
        <f t="shared" si="216"/>
        <v>15</v>
      </c>
      <c r="AX97" s="36">
        <f t="shared" si="217"/>
        <v>14</v>
      </c>
      <c r="AY97" s="36">
        <f t="shared" si="218"/>
        <v>14</v>
      </c>
      <c r="AZ97" s="36">
        <f t="shared" si="219"/>
        <v>0</v>
      </c>
      <c r="BA97" s="36">
        <f t="shared" si="220"/>
        <v>0</v>
      </c>
      <c r="BB97" s="36">
        <f t="shared" si="221"/>
        <v>0</v>
      </c>
      <c r="BC97" s="36">
        <f t="shared" si="222"/>
        <v>0</v>
      </c>
      <c r="BD97" s="36">
        <f t="shared" si="223"/>
        <v>0</v>
      </c>
      <c r="BE97" s="36">
        <f t="shared" si="224"/>
        <v>0</v>
      </c>
      <c r="BF97" s="36">
        <f t="shared" si="225"/>
        <v>0</v>
      </c>
      <c r="BG97" s="36">
        <f t="shared" si="226"/>
        <v>0</v>
      </c>
      <c r="BH97" s="149">
        <f t="shared" si="227"/>
        <v>0</v>
      </c>
    </row>
    <row r="98" spans="33:60" x14ac:dyDescent="0.25">
      <c r="AG98" s="36">
        <v>8</v>
      </c>
      <c r="AH98" s="138">
        <f t="shared" si="228"/>
        <v>16</v>
      </c>
      <c r="AI98" s="36">
        <f t="shared" si="202"/>
        <v>16</v>
      </c>
      <c r="AJ98" s="36">
        <f t="shared" si="203"/>
        <v>17</v>
      </c>
      <c r="AK98" s="36">
        <f t="shared" si="204"/>
        <v>17</v>
      </c>
      <c r="AL98" s="36">
        <f t="shared" si="205"/>
        <v>16</v>
      </c>
      <c r="AM98" s="36">
        <f t="shared" si="206"/>
        <v>16</v>
      </c>
      <c r="AN98" s="36">
        <f t="shared" si="207"/>
        <v>17</v>
      </c>
      <c r="AO98" s="36">
        <f t="shared" si="208"/>
        <v>17</v>
      </c>
      <c r="AP98" s="36">
        <f t="shared" si="209"/>
        <v>16</v>
      </c>
      <c r="AQ98" s="36">
        <f t="shared" si="210"/>
        <v>16</v>
      </c>
      <c r="AR98" s="36">
        <f t="shared" si="211"/>
        <v>17</v>
      </c>
      <c r="AS98" s="36">
        <f t="shared" si="212"/>
        <v>17</v>
      </c>
      <c r="AT98" s="36">
        <f t="shared" si="213"/>
        <v>16</v>
      </c>
      <c r="AU98" s="36">
        <f t="shared" si="214"/>
        <v>16</v>
      </c>
      <c r="AV98" s="36">
        <f t="shared" si="215"/>
        <v>17</v>
      </c>
      <c r="AW98" s="36">
        <f t="shared" si="216"/>
        <v>17</v>
      </c>
      <c r="AX98" s="36">
        <f t="shared" si="217"/>
        <v>16</v>
      </c>
      <c r="AY98" s="36">
        <f t="shared" si="218"/>
        <v>0</v>
      </c>
      <c r="AZ98" s="36">
        <f t="shared" si="219"/>
        <v>0</v>
      </c>
      <c r="BA98" s="36">
        <f t="shared" si="220"/>
        <v>0</v>
      </c>
      <c r="BB98" s="36">
        <f t="shared" si="221"/>
        <v>0</v>
      </c>
      <c r="BC98" s="36">
        <f t="shared" si="222"/>
        <v>0</v>
      </c>
      <c r="BD98" s="36">
        <f t="shared" si="223"/>
        <v>0</v>
      </c>
      <c r="BE98" s="36">
        <f t="shared" si="224"/>
        <v>0</v>
      </c>
      <c r="BF98" s="36">
        <f t="shared" si="225"/>
        <v>0</v>
      </c>
      <c r="BG98" s="36">
        <f t="shared" si="226"/>
        <v>0</v>
      </c>
      <c r="BH98" s="149">
        <f t="shared" si="227"/>
        <v>0</v>
      </c>
    </row>
    <row r="99" spans="33:60" x14ac:dyDescent="0.25">
      <c r="AG99" s="36">
        <v>9</v>
      </c>
      <c r="AH99" s="138">
        <f t="shared" si="228"/>
        <v>18</v>
      </c>
      <c r="AI99" s="36">
        <f t="shared" si="202"/>
        <v>18</v>
      </c>
      <c r="AJ99" s="36">
        <f t="shared" si="203"/>
        <v>19</v>
      </c>
      <c r="AK99" s="36">
        <f t="shared" si="204"/>
        <v>19</v>
      </c>
      <c r="AL99" s="36">
        <f t="shared" si="205"/>
        <v>18</v>
      </c>
      <c r="AM99" s="36">
        <f t="shared" si="206"/>
        <v>18</v>
      </c>
      <c r="AN99" s="36">
        <f t="shared" si="207"/>
        <v>19</v>
      </c>
      <c r="AO99" s="36">
        <f t="shared" si="208"/>
        <v>19</v>
      </c>
      <c r="AP99" s="36">
        <f t="shared" si="209"/>
        <v>18</v>
      </c>
      <c r="AQ99" s="36">
        <f t="shared" si="210"/>
        <v>18</v>
      </c>
      <c r="AR99" s="36">
        <f t="shared" si="211"/>
        <v>19</v>
      </c>
      <c r="AS99" s="36">
        <f t="shared" si="212"/>
        <v>19</v>
      </c>
      <c r="AT99" s="36">
        <f t="shared" si="213"/>
        <v>18</v>
      </c>
      <c r="AU99" s="36">
        <f t="shared" si="214"/>
        <v>18</v>
      </c>
      <c r="AV99" s="36">
        <f t="shared" si="215"/>
        <v>0</v>
      </c>
      <c r="AW99" s="36">
        <f t="shared" si="216"/>
        <v>0</v>
      </c>
      <c r="AX99" s="36">
        <f t="shared" si="217"/>
        <v>0</v>
      </c>
      <c r="AY99" s="36">
        <f t="shared" si="218"/>
        <v>0</v>
      </c>
      <c r="AZ99" s="36">
        <f t="shared" si="219"/>
        <v>0</v>
      </c>
      <c r="BA99" s="36">
        <f t="shared" si="220"/>
        <v>0</v>
      </c>
      <c r="BB99" s="36">
        <f t="shared" si="221"/>
        <v>0</v>
      </c>
      <c r="BC99" s="36">
        <f t="shared" si="222"/>
        <v>0</v>
      </c>
      <c r="BD99" s="36">
        <f t="shared" si="223"/>
        <v>0</v>
      </c>
      <c r="BE99" s="36">
        <f t="shared" si="224"/>
        <v>0</v>
      </c>
      <c r="BF99" s="36">
        <f t="shared" si="225"/>
        <v>0</v>
      </c>
      <c r="BG99" s="36">
        <f t="shared" si="226"/>
        <v>0</v>
      </c>
      <c r="BH99" s="149">
        <f t="shared" si="227"/>
        <v>0</v>
      </c>
    </row>
    <row r="100" spans="33:60" x14ac:dyDescent="0.25">
      <c r="AG100" s="36">
        <v>10</v>
      </c>
      <c r="AH100" s="138">
        <f t="shared" si="228"/>
        <v>20</v>
      </c>
      <c r="AI100" s="36">
        <f t="shared" si="202"/>
        <v>20</v>
      </c>
      <c r="AJ100" s="36">
        <f t="shared" si="203"/>
        <v>21</v>
      </c>
      <c r="AK100" s="36">
        <f t="shared" si="204"/>
        <v>21</v>
      </c>
      <c r="AL100" s="36">
        <f t="shared" si="205"/>
        <v>20</v>
      </c>
      <c r="AM100" s="36">
        <f t="shared" si="206"/>
        <v>20</v>
      </c>
      <c r="AN100" s="36">
        <f t="shared" si="207"/>
        <v>21</v>
      </c>
      <c r="AO100" s="36">
        <f t="shared" si="208"/>
        <v>21</v>
      </c>
      <c r="AP100" s="36">
        <f t="shared" si="209"/>
        <v>20</v>
      </c>
      <c r="AQ100" s="36">
        <f t="shared" si="210"/>
        <v>20</v>
      </c>
      <c r="AR100" s="36">
        <f t="shared" si="211"/>
        <v>21</v>
      </c>
      <c r="AS100" s="36">
        <f t="shared" si="212"/>
        <v>21</v>
      </c>
      <c r="AT100" s="36">
        <f t="shared" si="213"/>
        <v>20</v>
      </c>
      <c r="AU100" s="36">
        <f t="shared" si="214"/>
        <v>0</v>
      </c>
      <c r="AV100" s="36">
        <f t="shared" si="215"/>
        <v>0</v>
      </c>
      <c r="AW100" s="36">
        <f t="shared" si="216"/>
        <v>0</v>
      </c>
      <c r="AX100" s="36">
        <f t="shared" si="217"/>
        <v>0</v>
      </c>
      <c r="AY100" s="36">
        <f t="shared" si="218"/>
        <v>0</v>
      </c>
      <c r="AZ100" s="36">
        <f t="shared" si="219"/>
        <v>0</v>
      </c>
      <c r="BA100" s="36">
        <f t="shared" si="220"/>
        <v>0</v>
      </c>
      <c r="BB100" s="36">
        <f t="shared" si="221"/>
        <v>0</v>
      </c>
      <c r="BC100" s="36">
        <f t="shared" si="222"/>
        <v>0</v>
      </c>
      <c r="BD100" s="36">
        <f t="shared" si="223"/>
        <v>0</v>
      </c>
      <c r="BE100" s="36">
        <f t="shared" si="224"/>
        <v>0</v>
      </c>
      <c r="BF100" s="36">
        <f t="shared" si="225"/>
        <v>0</v>
      </c>
      <c r="BG100" s="36">
        <f t="shared" si="226"/>
        <v>0</v>
      </c>
      <c r="BH100" s="149">
        <f t="shared" si="227"/>
        <v>0</v>
      </c>
    </row>
    <row r="101" spans="33:60" x14ac:dyDescent="0.25">
      <c r="AG101" s="36">
        <v>11</v>
      </c>
      <c r="AH101" s="138">
        <f t="shared" si="228"/>
        <v>22</v>
      </c>
      <c r="AI101" s="36">
        <f t="shared" si="202"/>
        <v>22</v>
      </c>
      <c r="AJ101" s="36">
        <f t="shared" si="203"/>
        <v>23</v>
      </c>
      <c r="AK101" s="36">
        <f t="shared" si="204"/>
        <v>23</v>
      </c>
      <c r="AL101" s="36">
        <f t="shared" si="205"/>
        <v>22</v>
      </c>
      <c r="AM101" s="36">
        <f t="shared" si="206"/>
        <v>22</v>
      </c>
      <c r="AN101" s="36">
        <f t="shared" si="207"/>
        <v>23</v>
      </c>
      <c r="AO101" s="36">
        <f t="shared" si="208"/>
        <v>23</v>
      </c>
      <c r="AP101" s="36">
        <f t="shared" si="209"/>
        <v>22</v>
      </c>
      <c r="AQ101" s="36">
        <f t="shared" si="210"/>
        <v>22</v>
      </c>
      <c r="AR101" s="36">
        <f t="shared" si="211"/>
        <v>0</v>
      </c>
      <c r="AS101" s="36">
        <f t="shared" si="212"/>
        <v>0</v>
      </c>
      <c r="AT101" s="36">
        <f t="shared" si="213"/>
        <v>0</v>
      </c>
      <c r="AU101" s="36">
        <f t="shared" si="214"/>
        <v>0</v>
      </c>
      <c r="AV101" s="36">
        <f t="shared" si="215"/>
        <v>0</v>
      </c>
      <c r="AW101" s="36">
        <f t="shared" si="216"/>
        <v>0</v>
      </c>
      <c r="AX101" s="36">
        <f t="shared" si="217"/>
        <v>0</v>
      </c>
      <c r="AY101" s="36">
        <f t="shared" si="218"/>
        <v>0</v>
      </c>
      <c r="AZ101" s="36">
        <f t="shared" si="219"/>
        <v>0</v>
      </c>
      <c r="BA101" s="36">
        <f t="shared" si="220"/>
        <v>0</v>
      </c>
      <c r="BB101" s="36">
        <f t="shared" si="221"/>
        <v>0</v>
      </c>
      <c r="BC101" s="36">
        <f t="shared" si="222"/>
        <v>0</v>
      </c>
      <c r="BD101" s="36">
        <f t="shared" si="223"/>
        <v>0</v>
      </c>
      <c r="BE101" s="36">
        <f t="shared" si="224"/>
        <v>0</v>
      </c>
      <c r="BF101" s="36">
        <f t="shared" si="225"/>
        <v>0</v>
      </c>
      <c r="BG101" s="36">
        <f t="shared" si="226"/>
        <v>0</v>
      </c>
      <c r="BH101" s="149">
        <f t="shared" si="227"/>
        <v>0</v>
      </c>
    </row>
    <row r="102" spans="33:60" x14ac:dyDescent="0.25">
      <c r="AG102" s="36">
        <v>12</v>
      </c>
      <c r="AH102" s="138">
        <f t="shared" si="228"/>
        <v>24</v>
      </c>
      <c r="AI102" s="36">
        <f t="shared" si="202"/>
        <v>24</v>
      </c>
      <c r="AJ102" s="36">
        <f t="shared" si="203"/>
        <v>25</v>
      </c>
      <c r="AK102" s="36">
        <f t="shared" si="204"/>
        <v>25</v>
      </c>
      <c r="AL102" s="36">
        <f t="shared" si="205"/>
        <v>24</v>
      </c>
      <c r="AM102" s="36">
        <f t="shared" si="206"/>
        <v>24</v>
      </c>
      <c r="AN102" s="36">
        <f t="shared" si="207"/>
        <v>25</v>
      </c>
      <c r="AO102" s="36">
        <f t="shared" si="208"/>
        <v>25</v>
      </c>
      <c r="AP102" s="36">
        <f t="shared" si="209"/>
        <v>24</v>
      </c>
      <c r="AQ102" s="36">
        <f t="shared" si="210"/>
        <v>0</v>
      </c>
      <c r="AR102" s="36">
        <f t="shared" si="211"/>
        <v>0</v>
      </c>
      <c r="AS102" s="36">
        <f t="shared" si="212"/>
        <v>0</v>
      </c>
      <c r="AT102" s="36">
        <f t="shared" si="213"/>
        <v>0</v>
      </c>
      <c r="AU102" s="36">
        <f t="shared" si="214"/>
        <v>0</v>
      </c>
      <c r="AV102" s="36">
        <f t="shared" si="215"/>
        <v>0</v>
      </c>
      <c r="AW102" s="36">
        <f t="shared" si="216"/>
        <v>0</v>
      </c>
      <c r="AX102" s="36">
        <f t="shared" si="217"/>
        <v>0</v>
      </c>
      <c r="AY102" s="36">
        <f t="shared" si="218"/>
        <v>0</v>
      </c>
      <c r="AZ102" s="36">
        <f t="shared" si="219"/>
        <v>0</v>
      </c>
      <c r="BA102" s="36">
        <f t="shared" si="220"/>
        <v>0</v>
      </c>
      <c r="BB102" s="36">
        <f t="shared" si="221"/>
        <v>0</v>
      </c>
      <c r="BC102" s="36">
        <f t="shared" si="222"/>
        <v>0</v>
      </c>
      <c r="BD102" s="36">
        <f t="shared" si="223"/>
        <v>0</v>
      </c>
      <c r="BE102" s="36">
        <f t="shared" si="224"/>
        <v>0</v>
      </c>
      <c r="BF102" s="36">
        <f t="shared" si="225"/>
        <v>0</v>
      </c>
      <c r="BG102" s="36">
        <f t="shared" si="226"/>
        <v>0</v>
      </c>
      <c r="BH102" s="149">
        <f t="shared" si="227"/>
        <v>0</v>
      </c>
    </row>
    <row r="103" spans="33:60" x14ac:dyDescent="0.25">
      <c r="AG103" s="36">
        <v>13</v>
      </c>
      <c r="AH103" s="138">
        <f t="shared" si="228"/>
        <v>26</v>
      </c>
      <c r="AI103" s="36">
        <f t="shared" si="202"/>
        <v>26</v>
      </c>
      <c r="AJ103" s="36">
        <f t="shared" si="203"/>
        <v>27</v>
      </c>
      <c r="AK103" s="36">
        <f t="shared" si="204"/>
        <v>27</v>
      </c>
      <c r="AL103" s="36">
        <f t="shared" si="205"/>
        <v>26</v>
      </c>
      <c r="AM103" s="36">
        <f t="shared" si="206"/>
        <v>26</v>
      </c>
      <c r="AN103" s="36">
        <f t="shared" si="207"/>
        <v>0</v>
      </c>
      <c r="AO103" s="36">
        <f t="shared" si="208"/>
        <v>0</v>
      </c>
      <c r="AP103" s="36">
        <f t="shared" si="209"/>
        <v>0</v>
      </c>
      <c r="AQ103" s="36">
        <f t="shared" si="210"/>
        <v>0</v>
      </c>
      <c r="AR103" s="36">
        <f t="shared" si="211"/>
        <v>0</v>
      </c>
      <c r="AS103" s="36">
        <f t="shared" si="212"/>
        <v>0</v>
      </c>
      <c r="AT103" s="36">
        <f t="shared" si="213"/>
        <v>0</v>
      </c>
      <c r="AU103" s="36">
        <f t="shared" si="214"/>
        <v>0</v>
      </c>
      <c r="AV103" s="36">
        <f t="shared" si="215"/>
        <v>0</v>
      </c>
      <c r="AW103" s="36">
        <f t="shared" si="216"/>
        <v>0</v>
      </c>
      <c r="AX103" s="36">
        <f t="shared" si="217"/>
        <v>0</v>
      </c>
      <c r="AY103" s="36">
        <f t="shared" si="218"/>
        <v>0</v>
      </c>
      <c r="AZ103" s="36">
        <f t="shared" si="219"/>
        <v>0</v>
      </c>
      <c r="BA103" s="36">
        <f t="shared" si="220"/>
        <v>0</v>
      </c>
      <c r="BB103" s="36">
        <f t="shared" si="221"/>
        <v>0</v>
      </c>
      <c r="BC103" s="36">
        <f t="shared" si="222"/>
        <v>0</v>
      </c>
      <c r="BD103" s="36">
        <f t="shared" si="223"/>
        <v>0</v>
      </c>
      <c r="BE103" s="36">
        <f t="shared" si="224"/>
        <v>0</v>
      </c>
      <c r="BF103" s="36">
        <f t="shared" si="225"/>
        <v>0</v>
      </c>
      <c r="BG103" s="36">
        <f t="shared" si="226"/>
        <v>0</v>
      </c>
      <c r="BH103" s="149">
        <f t="shared" si="227"/>
        <v>0</v>
      </c>
    </row>
    <row r="104" spans="33:60" x14ac:dyDescent="0.25">
      <c r="AG104" s="36">
        <v>14</v>
      </c>
      <c r="AH104" s="138">
        <f t="shared" si="228"/>
        <v>28</v>
      </c>
      <c r="AI104" s="36">
        <f t="shared" si="202"/>
        <v>28</v>
      </c>
      <c r="AJ104" s="36">
        <f t="shared" si="203"/>
        <v>29</v>
      </c>
      <c r="AK104" s="36">
        <f t="shared" si="204"/>
        <v>29</v>
      </c>
      <c r="AL104" s="36">
        <f t="shared" si="205"/>
        <v>28</v>
      </c>
      <c r="AM104" s="36">
        <f t="shared" si="206"/>
        <v>0</v>
      </c>
      <c r="AN104" s="36">
        <f t="shared" si="207"/>
        <v>0</v>
      </c>
      <c r="AO104" s="36">
        <f t="shared" si="208"/>
        <v>0</v>
      </c>
      <c r="AP104" s="36">
        <f t="shared" si="209"/>
        <v>0</v>
      </c>
      <c r="AQ104" s="36">
        <f t="shared" si="210"/>
        <v>0</v>
      </c>
      <c r="AR104" s="36">
        <f t="shared" si="211"/>
        <v>0</v>
      </c>
      <c r="AS104" s="36">
        <f t="shared" si="212"/>
        <v>0</v>
      </c>
      <c r="AT104" s="36">
        <f t="shared" si="213"/>
        <v>0</v>
      </c>
      <c r="AU104" s="36">
        <f t="shared" si="214"/>
        <v>0</v>
      </c>
      <c r="AV104" s="36">
        <f t="shared" si="215"/>
        <v>0</v>
      </c>
      <c r="AW104" s="36">
        <f t="shared" si="216"/>
        <v>0</v>
      </c>
      <c r="AX104" s="36">
        <f t="shared" si="217"/>
        <v>0</v>
      </c>
      <c r="AY104" s="36">
        <f t="shared" si="218"/>
        <v>0</v>
      </c>
      <c r="AZ104" s="36">
        <f t="shared" si="219"/>
        <v>0</v>
      </c>
      <c r="BA104" s="36">
        <f t="shared" si="220"/>
        <v>0</v>
      </c>
      <c r="BB104" s="36">
        <f t="shared" si="221"/>
        <v>0</v>
      </c>
      <c r="BC104" s="36">
        <f t="shared" si="222"/>
        <v>0</v>
      </c>
      <c r="BD104" s="36">
        <f t="shared" si="223"/>
        <v>0</v>
      </c>
      <c r="BE104" s="36">
        <f t="shared" si="224"/>
        <v>0</v>
      </c>
      <c r="BF104" s="36">
        <f t="shared" si="225"/>
        <v>0</v>
      </c>
      <c r="BG104" s="36">
        <f t="shared" si="226"/>
        <v>0</v>
      </c>
      <c r="BH104" s="149">
        <f t="shared" si="227"/>
        <v>0</v>
      </c>
    </row>
    <row r="105" spans="33:60" x14ac:dyDescent="0.25">
      <c r="AG105" s="36">
        <v>15</v>
      </c>
      <c r="AH105" s="138">
        <f t="shared" si="228"/>
        <v>30</v>
      </c>
      <c r="AI105" s="36">
        <f t="shared" si="202"/>
        <v>30</v>
      </c>
      <c r="AJ105" s="36">
        <f t="shared" si="203"/>
        <v>0</v>
      </c>
      <c r="AK105" s="36">
        <f t="shared" si="204"/>
        <v>0</v>
      </c>
      <c r="AL105" s="36">
        <f t="shared" si="205"/>
        <v>0</v>
      </c>
      <c r="AM105" s="36">
        <f t="shared" si="206"/>
        <v>0</v>
      </c>
      <c r="AN105" s="36">
        <f t="shared" si="207"/>
        <v>0</v>
      </c>
      <c r="AO105" s="36">
        <f t="shared" si="208"/>
        <v>0</v>
      </c>
      <c r="AP105" s="36">
        <f t="shared" si="209"/>
        <v>0</v>
      </c>
      <c r="AQ105" s="36">
        <f t="shared" si="210"/>
        <v>0</v>
      </c>
      <c r="AR105" s="36">
        <f t="shared" si="211"/>
        <v>0</v>
      </c>
      <c r="AS105" s="36">
        <f t="shared" si="212"/>
        <v>0</v>
      </c>
      <c r="AT105" s="36">
        <f t="shared" si="213"/>
        <v>0</v>
      </c>
      <c r="AU105" s="36">
        <f t="shared" si="214"/>
        <v>0</v>
      </c>
      <c r="AV105" s="36">
        <f t="shared" si="215"/>
        <v>0</v>
      </c>
      <c r="AW105" s="36">
        <f t="shared" si="216"/>
        <v>0</v>
      </c>
      <c r="AX105" s="36">
        <f t="shared" si="217"/>
        <v>0</v>
      </c>
      <c r="AY105" s="36">
        <f t="shared" si="218"/>
        <v>0</v>
      </c>
      <c r="AZ105" s="36">
        <f t="shared" si="219"/>
        <v>0</v>
      </c>
      <c r="BA105" s="36">
        <f t="shared" si="220"/>
        <v>0</v>
      </c>
      <c r="BB105" s="36">
        <f t="shared" si="221"/>
        <v>0</v>
      </c>
      <c r="BC105" s="36">
        <f t="shared" si="222"/>
        <v>0</v>
      </c>
      <c r="BD105" s="36">
        <f t="shared" si="223"/>
        <v>0</v>
      </c>
      <c r="BE105" s="36">
        <f t="shared" si="224"/>
        <v>0</v>
      </c>
      <c r="BF105" s="36">
        <f t="shared" si="225"/>
        <v>0</v>
      </c>
      <c r="BG105" s="36">
        <f t="shared" si="226"/>
        <v>0</v>
      </c>
      <c r="BH105" s="149">
        <f t="shared" si="227"/>
        <v>0</v>
      </c>
    </row>
    <row r="106" spans="33:60" x14ac:dyDescent="0.25">
      <c r="AG106" s="36">
        <v>16</v>
      </c>
      <c r="AH106" s="142">
        <f t="shared" si="228"/>
        <v>32</v>
      </c>
      <c r="AI106" s="83">
        <f t="shared" si="202"/>
        <v>0</v>
      </c>
      <c r="AJ106" s="83">
        <f t="shared" si="203"/>
        <v>0</v>
      </c>
      <c r="AK106" s="83">
        <f t="shared" si="204"/>
        <v>0</v>
      </c>
      <c r="AL106" s="83">
        <f t="shared" si="205"/>
        <v>0</v>
      </c>
      <c r="AM106" s="83">
        <f t="shared" si="206"/>
        <v>0</v>
      </c>
      <c r="AN106" s="83">
        <f t="shared" si="207"/>
        <v>0</v>
      </c>
      <c r="AO106" s="83">
        <f t="shared" si="208"/>
        <v>0</v>
      </c>
      <c r="AP106" s="83">
        <f t="shared" si="209"/>
        <v>0</v>
      </c>
      <c r="AQ106" s="83">
        <f t="shared" si="210"/>
        <v>0</v>
      </c>
      <c r="AR106" s="83">
        <f t="shared" si="211"/>
        <v>0</v>
      </c>
      <c r="AS106" s="83">
        <f t="shared" si="212"/>
        <v>0</v>
      </c>
      <c r="AT106" s="83">
        <f t="shared" si="213"/>
        <v>0</v>
      </c>
      <c r="AU106" s="83">
        <f t="shared" si="214"/>
        <v>0</v>
      </c>
      <c r="AV106" s="83">
        <f t="shared" si="215"/>
        <v>0</v>
      </c>
      <c r="AW106" s="83">
        <f t="shared" si="216"/>
        <v>0</v>
      </c>
      <c r="AX106" s="83">
        <f t="shared" si="217"/>
        <v>0</v>
      </c>
      <c r="AY106" s="83">
        <f t="shared" si="218"/>
        <v>0</v>
      </c>
      <c r="AZ106" s="83">
        <f t="shared" si="219"/>
        <v>0</v>
      </c>
      <c r="BA106" s="83">
        <f t="shared" si="220"/>
        <v>0</v>
      </c>
      <c r="BB106" s="83">
        <f t="shared" si="221"/>
        <v>0</v>
      </c>
      <c r="BC106" s="83">
        <f t="shared" si="222"/>
        <v>0</v>
      </c>
      <c r="BD106" s="83">
        <f t="shared" si="223"/>
        <v>0</v>
      </c>
      <c r="BE106" s="83">
        <f t="shared" si="224"/>
        <v>0</v>
      </c>
      <c r="BF106" s="83">
        <f t="shared" si="225"/>
        <v>0</v>
      </c>
      <c r="BG106" s="83">
        <f t="shared" si="226"/>
        <v>0</v>
      </c>
      <c r="BH106" s="143">
        <f t="shared" si="227"/>
        <v>0</v>
      </c>
    </row>
    <row r="108" spans="33:60" x14ac:dyDescent="0.25">
      <c r="AG108" s="67" t="str">
        <f>AL50</f>
        <v>2. kolo</v>
      </c>
      <c r="AI108" s="67" t="str">
        <f>AI68</f>
        <v>červený</v>
      </c>
    </row>
    <row r="109" spans="33:60" x14ac:dyDescent="0.25">
      <c r="AH109" s="36">
        <v>32</v>
      </c>
      <c r="AI109" s="36">
        <f>AH109-1</f>
        <v>31</v>
      </c>
      <c r="AJ109" s="36">
        <f t="shared" ref="AJ109:BH109" si="229">AI109-1</f>
        <v>30</v>
      </c>
      <c r="AK109" s="36">
        <f t="shared" si="229"/>
        <v>29</v>
      </c>
      <c r="AL109" s="36">
        <f t="shared" si="229"/>
        <v>28</v>
      </c>
      <c r="AM109" s="36">
        <f t="shared" si="229"/>
        <v>27</v>
      </c>
      <c r="AN109" s="36">
        <f t="shared" si="229"/>
        <v>26</v>
      </c>
      <c r="AO109" s="36">
        <f t="shared" si="229"/>
        <v>25</v>
      </c>
      <c r="AP109" s="36">
        <f t="shared" si="229"/>
        <v>24</v>
      </c>
      <c r="AQ109" s="36">
        <f t="shared" si="229"/>
        <v>23</v>
      </c>
      <c r="AR109" s="36">
        <f t="shared" si="229"/>
        <v>22</v>
      </c>
      <c r="AS109" s="36">
        <f t="shared" si="229"/>
        <v>21</v>
      </c>
      <c r="AT109" s="36">
        <f t="shared" si="229"/>
        <v>20</v>
      </c>
      <c r="AU109" s="36">
        <f t="shared" si="229"/>
        <v>19</v>
      </c>
      <c r="AV109" s="36">
        <f t="shared" si="229"/>
        <v>18</v>
      </c>
      <c r="AW109" s="36">
        <f t="shared" si="229"/>
        <v>17</v>
      </c>
      <c r="AX109" s="36">
        <f t="shared" si="229"/>
        <v>16</v>
      </c>
      <c r="AY109" s="36">
        <f t="shared" si="229"/>
        <v>15</v>
      </c>
      <c r="AZ109" s="36">
        <f t="shared" si="229"/>
        <v>14</v>
      </c>
      <c r="BA109" s="36">
        <f t="shared" si="229"/>
        <v>13</v>
      </c>
      <c r="BB109" s="36">
        <f t="shared" si="229"/>
        <v>12</v>
      </c>
      <c r="BC109" s="36">
        <f t="shared" si="229"/>
        <v>11</v>
      </c>
      <c r="BD109" s="36">
        <f t="shared" si="229"/>
        <v>10</v>
      </c>
      <c r="BE109" s="36">
        <f t="shared" si="229"/>
        <v>9</v>
      </c>
      <c r="BF109" s="36">
        <f t="shared" si="229"/>
        <v>8</v>
      </c>
      <c r="BG109" s="36">
        <f t="shared" si="229"/>
        <v>7</v>
      </c>
      <c r="BH109" s="36">
        <f t="shared" si="229"/>
        <v>6</v>
      </c>
    </row>
    <row r="110" spans="33:60" x14ac:dyDescent="0.25">
      <c r="AH110" s="83">
        <v>1</v>
      </c>
      <c r="AI110" s="83">
        <f t="shared" ref="AI110:BH110" si="230">AH110+1</f>
        <v>2</v>
      </c>
      <c r="AJ110" s="83">
        <f t="shared" si="230"/>
        <v>3</v>
      </c>
      <c r="AK110" s="83">
        <f t="shared" si="230"/>
        <v>4</v>
      </c>
      <c r="AL110" s="83">
        <f t="shared" si="230"/>
        <v>5</v>
      </c>
      <c r="AM110" s="83">
        <f t="shared" si="230"/>
        <v>6</v>
      </c>
      <c r="AN110" s="83">
        <f t="shared" si="230"/>
        <v>7</v>
      </c>
      <c r="AO110" s="83">
        <f t="shared" si="230"/>
        <v>8</v>
      </c>
      <c r="AP110" s="83">
        <f t="shared" si="230"/>
        <v>9</v>
      </c>
      <c r="AQ110" s="83">
        <f t="shared" si="230"/>
        <v>10</v>
      </c>
      <c r="AR110" s="83">
        <f t="shared" si="230"/>
        <v>11</v>
      </c>
      <c r="AS110" s="83">
        <f t="shared" si="230"/>
        <v>12</v>
      </c>
      <c r="AT110" s="83">
        <f t="shared" si="230"/>
        <v>13</v>
      </c>
      <c r="AU110" s="83">
        <f t="shared" si="230"/>
        <v>14</v>
      </c>
      <c r="AV110" s="83">
        <f t="shared" si="230"/>
        <v>15</v>
      </c>
      <c r="AW110" s="83">
        <f t="shared" si="230"/>
        <v>16</v>
      </c>
      <c r="AX110" s="83">
        <f t="shared" si="230"/>
        <v>17</v>
      </c>
      <c r="AY110" s="83">
        <f t="shared" si="230"/>
        <v>18</v>
      </c>
      <c r="AZ110" s="83">
        <f t="shared" si="230"/>
        <v>19</v>
      </c>
      <c r="BA110" s="83">
        <f t="shared" si="230"/>
        <v>20</v>
      </c>
      <c r="BB110" s="83">
        <f t="shared" si="230"/>
        <v>21</v>
      </c>
      <c r="BC110" s="83">
        <f t="shared" si="230"/>
        <v>22</v>
      </c>
      <c r="BD110" s="83">
        <f t="shared" si="230"/>
        <v>23</v>
      </c>
      <c r="BE110" s="83">
        <f t="shared" si="230"/>
        <v>24</v>
      </c>
      <c r="BF110" s="83">
        <f t="shared" si="230"/>
        <v>25</v>
      </c>
      <c r="BG110" s="83">
        <f t="shared" si="230"/>
        <v>26</v>
      </c>
      <c r="BH110" s="83">
        <f t="shared" si="230"/>
        <v>27</v>
      </c>
    </row>
    <row r="111" spans="33:60" x14ac:dyDescent="0.25">
      <c r="AG111" s="36">
        <v>1</v>
      </c>
      <c r="AH111" s="140">
        <f>AL51</f>
        <v>1</v>
      </c>
      <c r="AI111" s="85">
        <f>AR51</f>
        <v>1</v>
      </c>
      <c r="AJ111" s="85">
        <f>AX51</f>
        <v>15</v>
      </c>
      <c r="AK111" s="85">
        <f>BD51</f>
        <v>15</v>
      </c>
      <c r="AL111" s="85">
        <f>BJ51</f>
        <v>1</v>
      </c>
      <c r="AM111" s="85">
        <f>BP51</f>
        <v>1</v>
      </c>
      <c r="AN111" s="85">
        <f>BV51</f>
        <v>13</v>
      </c>
      <c r="AO111" s="85">
        <f>CB51</f>
        <v>13</v>
      </c>
      <c r="AP111" s="85">
        <f>CH51</f>
        <v>1</v>
      </c>
      <c r="AQ111" s="85">
        <f>CN51</f>
        <v>1</v>
      </c>
      <c r="AR111" s="85">
        <f>CT51</f>
        <v>11</v>
      </c>
      <c r="AS111" s="85">
        <f>CZ51</f>
        <v>11</v>
      </c>
      <c r="AT111" s="85">
        <f>DF51</f>
        <v>1</v>
      </c>
      <c r="AU111" s="85">
        <f>DL51</f>
        <v>1</v>
      </c>
      <c r="AV111" s="85">
        <f>DR51</f>
        <v>9</v>
      </c>
      <c r="AW111" s="85">
        <f>DX51</f>
        <v>9</v>
      </c>
      <c r="AX111" s="85">
        <f>ED51</f>
        <v>1</v>
      </c>
      <c r="AY111" s="85">
        <f>EJ51</f>
        <v>1</v>
      </c>
      <c r="AZ111" s="85">
        <f>EP51</f>
        <v>7</v>
      </c>
      <c r="BA111" s="85">
        <f>EV51</f>
        <v>7</v>
      </c>
      <c r="BB111" s="85">
        <f>FB51</f>
        <v>1</v>
      </c>
      <c r="BC111" s="85">
        <f>FH51</f>
        <v>1</v>
      </c>
      <c r="BD111" s="85">
        <f>FN51</f>
        <v>5</v>
      </c>
      <c r="BE111" s="85">
        <f>FT51</f>
        <v>5</v>
      </c>
      <c r="BF111" s="85">
        <f>FZ51</f>
        <v>1</v>
      </c>
      <c r="BG111" s="85">
        <f>GF51</f>
        <v>1</v>
      </c>
      <c r="BH111" s="141">
        <f>GL51</f>
        <v>3</v>
      </c>
    </row>
    <row r="112" spans="33:60" x14ac:dyDescent="0.25">
      <c r="AG112" s="36">
        <v>2</v>
      </c>
      <c r="AH112" s="138">
        <f t="shared" ref="AH112:AH126" si="231">AL52</f>
        <v>2</v>
      </c>
      <c r="AI112" s="36">
        <f t="shared" ref="AI112:AI126" si="232">AR52</f>
        <v>2</v>
      </c>
      <c r="AJ112" s="36">
        <f t="shared" ref="AJ112:AJ126" si="233">AX52</f>
        <v>2</v>
      </c>
      <c r="AK112" s="36">
        <f t="shared" ref="AK112:AK126" si="234">BD52</f>
        <v>2</v>
      </c>
      <c r="AL112" s="36">
        <f t="shared" ref="AL112:AL126" si="235">BJ52</f>
        <v>2</v>
      </c>
      <c r="AM112" s="36">
        <f t="shared" ref="AM112:AM126" si="236">BP52</f>
        <v>2</v>
      </c>
      <c r="AN112" s="36">
        <f t="shared" ref="AN112:AN126" si="237">BV52</f>
        <v>2</v>
      </c>
      <c r="AO112" s="36">
        <f t="shared" ref="AO112:AO126" si="238">CB52</f>
        <v>2</v>
      </c>
      <c r="AP112" s="36">
        <f t="shared" ref="AP112:AP126" si="239">CH52</f>
        <v>2</v>
      </c>
      <c r="AQ112" s="36">
        <f t="shared" ref="AQ112:AQ126" si="240">CN52</f>
        <v>2</v>
      </c>
      <c r="AR112" s="36">
        <f t="shared" ref="AR112:AR126" si="241">CT52</f>
        <v>2</v>
      </c>
      <c r="AS112" s="36">
        <f t="shared" ref="AS112:AS126" si="242">CZ52</f>
        <v>2</v>
      </c>
      <c r="AT112" s="36">
        <f t="shared" ref="AT112:AT126" si="243">DF52</f>
        <v>2</v>
      </c>
      <c r="AU112" s="36">
        <f t="shared" ref="AU112:AU126" si="244">DL52</f>
        <v>2</v>
      </c>
      <c r="AV112" s="36">
        <f t="shared" ref="AV112:AV126" si="245">DR52</f>
        <v>2</v>
      </c>
      <c r="AW112" s="36">
        <f t="shared" ref="AW112:AW126" si="246">DX52</f>
        <v>2</v>
      </c>
      <c r="AX112" s="36">
        <f t="shared" ref="AX112:AX126" si="247">ED52</f>
        <v>2</v>
      </c>
      <c r="AY112" s="36">
        <f t="shared" ref="AY112:AY126" si="248">EJ52</f>
        <v>2</v>
      </c>
      <c r="AZ112" s="36">
        <f t="shared" ref="AZ112:AZ126" si="249">EP52</f>
        <v>2</v>
      </c>
      <c r="BA112" s="36">
        <f t="shared" ref="BA112:BA126" si="250">EV52</f>
        <v>2</v>
      </c>
      <c r="BB112" s="36">
        <f t="shared" ref="BB112:BB126" si="251">FB52</f>
        <v>2</v>
      </c>
      <c r="BC112" s="36">
        <f t="shared" ref="BC112:BC126" si="252">FH52</f>
        <v>2</v>
      </c>
      <c r="BD112" s="36">
        <f t="shared" ref="BD112:BD126" si="253">FN52</f>
        <v>2</v>
      </c>
      <c r="BE112" s="36">
        <f t="shared" ref="BE112:BE126" si="254">FT52</f>
        <v>2</v>
      </c>
      <c r="BF112" s="36">
        <f t="shared" ref="BF112:BF126" si="255">FZ52</f>
        <v>2</v>
      </c>
      <c r="BG112" s="36">
        <f t="shared" ref="BG112:BG126" si="256">GF52</f>
        <v>2</v>
      </c>
      <c r="BH112" s="149">
        <f t="shared" ref="BH112:BH126" si="257">GL52</f>
        <v>6</v>
      </c>
    </row>
    <row r="113" spans="33:60" x14ac:dyDescent="0.25">
      <c r="AG113" s="36">
        <v>3</v>
      </c>
      <c r="AH113" s="138">
        <f t="shared" si="231"/>
        <v>5</v>
      </c>
      <c r="AI113" s="36">
        <f t="shared" si="232"/>
        <v>5</v>
      </c>
      <c r="AJ113" s="36">
        <f t="shared" si="233"/>
        <v>4</v>
      </c>
      <c r="AK113" s="36">
        <f t="shared" si="234"/>
        <v>4</v>
      </c>
      <c r="AL113" s="36">
        <f t="shared" si="235"/>
        <v>5</v>
      </c>
      <c r="AM113" s="36">
        <f t="shared" si="236"/>
        <v>5</v>
      </c>
      <c r="AN113" s="36">
        <f t="shared" si="237"/>
        <v>4</v>
      </c>
      <c r="AO113" s="36">
        <f t="shared" si="238"/>
        <v>4</v>
      </c>
      <c r="AP113" s="36">
        <f t="shared" si="239"/>
        <v>5</v>
      </c>
      <c r="AQ113" s="36">
        <f t="shared" si="240"/>
        <v>5</v>
      </c>
      <c r="AR113" s="36">
        <f t="shared" si="241"/>
        <v>4</v>
      </c>
      <c r="AS113" s="36">
        <f t="shared" si="242"/>
        <v>4</v>
      </c>
      <c r="AT113" s="36">
        <f t="shared" si="243"/>
        <v>5</v>
      </c>
      <c r="AU113" s="36">
        <f t="shared" si="244"/>
        <v>5</v>
      </c>
      <c r="AV113" s="36">
        <f t="shared" si="245"/>
        <v>4</v>
      </c>
      <c r="AW113" s="36">
        <f t="shared" si="246"/>
        <v>4</v>
      </c>
      <c r="AX113" s="36">
        <f t="shared" si="247"/>
        <v>5</v>
      </c>
      <c r="AY113" s="36">
        <f t="shared" si="248"/>
        <v>5</v>
      </c>
      <c r="AZ113" s="36">
        <f t="shared" si="249"/>
        <v>4</v>
      </c>
      <c r="BA113" s="36">
        <f t="shared" si="250"/>
        <v>4</v>
      </c>
      <c r="BB113" s="36">
        <f t="shared" si="251"/>
        <v>4</v>
      </c>
      <c r="BC113" s="36">
        <f t="shared" si="252"/>
        <v>4</v>
      </c>
      <c r="BD113" s="36">
        <f t="shared" si="253"/>
        <v>10</v>
      </c>
      <c r="BE113" s="36">
        <f t="shared" si="254"/>
        <v>6</v>
      </c>
      <c r="BF113" s="36">
        <f t="shared" si="255"/>
        <v>5</v>
      </c>
      <c r="BG113" s="36">
        <f t="shared" si="256"/>
        <v>7</v>
      </c>
      <c r="BH113" s="149">
        <f t="shared" si="257"/>
        <v>0</v>
      </c>
    </row>
    <row r="114" spans="33:60" x14ac:dyDescent="0.25">
      <c r="AG114" s="36">
        <v>4</v>
      </c>
      <c r="AH114" s="138">
        <f t="shared" si="231"/>
        <v>6</v>
      </c>
      <c r="AI114" s="36">
        <f t="shared" si="232"/>
        <v>6</v>
      </c>
      <c r="AJ114" s="36">
        <f t="shared" si="233"/>
        <v>6</v>
      </c>
      <c r="AK114" s="36">
        <f t="shared" si="234"/>
        <v>6</v>
      </c>
      <c r="AL114" s="36">
        <f t="shared" si="235"/>
        <v>6</v>
      </c>
      <c r="AM114" s="36">
        <f t="shared" si="236"/>
        <v>6</v>
      </c>
      <c r="AN114" s="36">
        <f t="shared" si="237"/>
        <v>6</v>
      </c>
      <c r="AO114" s="36">
        <f t="shared" si="238"/>
        <v>6</v>
      </c>
      <c r="AP114" s="36">
        <f t="shared" si="239"/>
        <v>8</v>
      </c>
      <c r="AQ114" s="36">
        <f t="shared" si="240"/>
        <v>8</v>
      </c>
      <c r="AR114" s="36">
        <f t="shared" si="241"/>
        <v>6</v>
      </c>
      <c r="AS114" s="36">
        <f t="shared" si="242"/>
        <v>6</v>
      </c>
      <c r="AT114" s="36">
        <f t="shared" si="243"/>
        <v>6</v>
      </c>
      <c r="AU114" s="36">
        <f t="shared" si="244"/>
        <v>6</v>
      </c>
      <c r="AV114" s="36">
        <f t="shared" si="245"/>
        <v>6</v>
      </c>
      <c r="AW114" s="36">
        <f t="shared" si="246"/>
        <v>6</v>
      </c>
      <c r="AX114" s="36">
        <f t="shared" si="247"/>
        <v>6</v>
      </c>
      <c r="AY114" s="36">
        <f t="shared" si="248"/>
        <v>6</v>
      </c>
      <c r="AZ114" s="36">
        <f t="shared" si="249"/>
        <v>14</v>
      </c>
      <c r="BA114" s="36">
        <f t="shared" si="250"/>
        <v>8</v>
      </c>
      <c r="BB114" s="36">
        <f t="shared" si="251"/>
        <v>7</v>
      </c>
      <c r="BC114" s="36">
        <f t="shared" si="252"/>
        <v>11</v>
      </c>
      <c r="BD114" s="36">
        <f t="shared" si="253"/>
        <v>7</v>
      </c>
      <c r="BE114" s="36">
        <f t="shared" si="254"/>
        <v>7</v>
      </c>
      <c r="BF114" s="36">
        <f t="shared" si="255"/>
        <v>6</v>
      </c>
      <c r="BG114" s="36">
        <f t="shared" si="256"/>
        <v>0</v>
      </c>
      <c r="BH114" s="149">
        <f t="shared" si="257"/>
        <v>0</v>
      </c>
    </row>
    <row r="115" spans="33:60" x14ac:dyDescent="0.25">
      <c r="AG115" s="36">
        <v>5</v>
      </c>
      <c r="AH115" s="138">
        <f t="shared" si="231"/>
        <v>9</v>
      </c>
      <c r="AI115" s="36">
        <f t="shared" si="232"/>
        <v>9</v>
      </c>
      <c r="AJ115" s="36">
        <f t="shared" si="233"/>
        <v>8</v>
      </c>
      <c r="AK115" s="36">
        <f t="shared" si="234"/>
        <v>8</v>
      </c>
      <c r="AL115" s="36">
        <f t="shared" si="235"/>
        <v>9</v>
      </c>
      <c r="AM115" s="36">
        <f t="shared" si="236"/>
        <v>9</v>
      </c>
      <c r="AN115" s="36">
        <f t="shared" si="237"/>
        <v>8</v>
      </c>
      <c r="AO115" s="36">
        <f t="shared" si="238"/>
        <v>8</v>
      </c>
      <c r="AP115" s="36">
        <f t="shared" si="239"/>
        <v>9</v>
      </c>
      <c r="AQ115" s="36">
        <f t="shared" si="240"/>
        <v>9</v>
      </c>
      <c r="AR115" s="36">
        <f t="shared" si="241"/>
        <v>8</v>
      </c>
      <c r="AS115" s="36">
        <f t="shared" si="242"/>
        <v>8</v>
      </c>
      <c r="AT115" s="36">
        <f t="shared" si="243"/>
        <v>8</v>
      </c>
      <c r="AU115" s="36">
        <f t="shared" si="244"/>
        <v>8</v>
      </c>
      <c r="AV115" s="36">
        <f t="shared" si="245"/>
        <v>18</v>
      </c>
      <c r="AW115" s="36">
        <f t="shared" si="246"/>
        <v>10</v>
      </c>
      <c r="AX115" s="36">
        <f t="shared" si="247"/>
        <v>9</v>
      </c>
      <c r="AY115" s="36">
        <f t="shared" si="248"/>
        <v>15</v>
      </c>
      <c r="AZ115" s="36">
        <f t="shared" si="249"/>
        <v>9</v>
      </c>
      <c r="BA115" s="36">
        <f t="shared" si="250"/>
        <v>9</v>
      </c>
      <c r="BB115" s="36">
        <f t="shared" si="251"/>
        <v>8</v>
      </c>
      <c r="BC115" s="36">
        <f t="shared" si="252"/>
        <v>8</v>
      </c>
      <c r="BD115" s="36">
        <f t="shared" si="253"/>
        <v>0</v>
      </c>
      <c r="BE115" s="36">
        <f t="shared" si="254"/>
        <v>0</v>
      </c>
      <c r="BF115" s="36">
        <f t="shared" si="255"/>
        <v>0</v>
      </c>
      <c r="BG115" s="36">
        <f t="shared" si="256"/>
        <v>0</v>
      </c>
      <c r="BH115" s="149">
        <f t="shared" si="257"/>
        <v>0</v>
      </c>
    </row>
    <row r="116" spans="33:60" x14ac:dyDescent="0.25">
      <c r="AG116" s="36">
        <v>6</v>
      </c>
      <c r="AH116" s="138">
        <f t="shared" si="231"/>
        <v>10</v>
      </c>
      <c r="AI116" s="36">
        <f t="shared" si="232"/>
        <v>10</v>
      </c>
      <c r="AJ116" s="36">
        <f t="shared" si="233"/>
        <v>10</v>
      </c>
      <c r="AK116" s="36">
        <f t="shared" si="234"/>
        <v>10</v>
      </c>
      <c r="AL116" s="36">
        <f t="shared" si="235"/>
        <v>10</v>
      </c>
      <c r="AM116" s="36">
        <f t="shared" si="236"/>
        <v>10</v>
      </c>
      <c r="AN116" s="36">
        <f t="shared" si="237"/>
        <v>10</v>
      </c>
      <c r="AO116" s="36">
        <f t="shared" si="238"/>
        <v>10</v>
      </c>
      <c r="AP116" s="36">
        <f t="shared" si="239"/>
        <v>10</v>
      </c>
      <c r="AQ116" s="36">
        <f t="shared" si="240"/>
        <v>10</v>
      </c>
      <c r="AR116" s="36">
        <f t="shared" si="241"/>
        <v>22</v>
      </c>
      <c r="AS116" s="36">
        <f t="shared" si="242"/>
        <v>12</v>
      </c>
      <c r="AT116" s="36">
        <f t="shared" si="243"/>
        <v>11</v>
      </c>
      <c r="AU116" s="36">
        <f t="shared" si="244"/>
        <v>19</v>
      </c>
      <c r="AV116" s="36">
        <f t="shared" si="245"/>
        <v>11</v>
      </c>
      <c r="AW116" s="36">
        <f t="shared" si="246"/>
        <v>11</v>
      </c>
      <c r="AX116" s="36">
        <f t="shared" si="247"/>
        <v>10</v>
      </c>
      <c r="AY116" s="36">
        <f t="shared" si="248"/>
        <v>10</v>
      </c>
      <c r="AZ116" s="36">
        <f t="shared" si="249"/>
        <v>11</v>
      </c>
      <c r="BA116" s="36">
        <f t="shared" si="250"/>
        <v>11</v>
      </c>
      <c r="BB116" s="36">
        <f t="shared" si="251"/>
        <v>10</v>
      </c>
      <c r="BC116" s="36">
        <f t="shared" si="252"/>
        <v>0</v>
      </c>
      <c r="BD116" s="36">
        <f t="shared" si="253"/>
        <v>0</v>
      </c>
      <c r="BE116" s="36">
        <f t="shared" si="254"/>
        <v>0</v>
      </c>
      <c r="BF116" s="36">
        <f t="shared" si="255"/>
        <v>0</v>
      </c>
      <c r="BG116" s="36">
        <f t="shared" si="256"/>
        <v>0</v>
      </c>
      <c r="BH116" s="149">
        <f t="shared" si="257"/>
        <v>0</v>
      </c>
    </row>
    <row r="117" spans="33:60" x14ac:dyDescent="0.25">
      <c r="AG117" s="36">
        <v>7</v>
      </c>
      <c r="AH117" s="138">
        <f t="shared" si="231"/>
        <v>13</v>
      </c>
      <c r="AI117" s="36">
        <f t="shared" si="232"/>
        <v>13</v>
      </c>
      <c r="AJ117" s="36">
        <f t="shared" si="233"/>
        <v>12</v>
      </c>
      <c r="AK117" s="36">
        <f t="shared" si="234"/>
        <v>12</v>
      </c>
      <c r="AL117" s="36">
        <f t="shared" si="235"/>
        <v>12</v>
      </c>
      <c r="AM117" s="36">
        <f t="shared" si="236"/>
        <v>12</v>
      </c>
      <c r="AN117" s="36">
        <f t="shared" si="237"/>
        <v>26</v>
      </c>
      <c r="AO117" s="36">
        <f t="shared" si="238"/>
        <v>14</v>
      </c>
      <c r="AP117" s="36">
        <f t="shared" si="239"/>
        <v>13</v>
      </c>
      <c r="AQ117" s="36">
        <f t="shared" si="240"/>
        <v>23</v>
      </c>
      <c r="AR117" s="36">
        <f t="shared" si="241"/>
        <v>13</v>
      </c>
      <c r="AS117" s="36">
        <f t="shared" si="242"/>
        <v>13</v>
      </c>
      <c r="AT117" s="36">
        <f t="shared" si="243"/>
        <v>12</v>
      </c>
      <c r="AU117" s="36">
        <f t="shared" si="244"/>
        <v>12</v>
      </c>
      <c r="AV117" s="36">
        <f t="shared" si="245"/>
        <v>13</v>
      </c>
      <c r="AW117" s="36">
        <f t="shared" si="246"/>
        <v>14</v>
      </c>
      <c r="AX117" s="36">
        <f t="shared" si="247"/>
        <v>13</v>
      </c>
      <c r="AY117" s="36">
        <f t="shared" si="248"/>
        <v>12</v>
      </c>
      <c r="AZ117" s="36">
        <f t="shared" si="249"/>
        <v>0</v>
      </c>
      <c r="BA117" s="36">
        <f t="shared" si="250"/>
        <v>0</v>
      </c>
      <c r="BB117" s="36">
        <f t="shared" si="251"/>
        <v>0</v>
      </c>
      <c r="BC117" s="36">
        <f t="shared" si="252"/>
        <v>0</v>
      </c>
      <c r="BD117" s="36">
        <f t="shared" si="253"/>
        <v>0</v>
      </c>
      <c r="BE117" s="36">
        <f t="shared" si="254"/>
        <v>0</v>
      </c>
      <c r="BF117" s="36">
        <f t="shared" si="255"/>
        <v>0</v>
      </c>
      <c r="BG117" s="36">
        <f t="shared" si="256"/>
        <v>0</v>
      </c>
      <c r="BH117" s="149">
        <f t="shared" si="257"/>
        <v>0</v>
      </c>
    </row>
    <row r="118" spans="33:60" x14ac:dyDescent="0.25">
      <c r="AG118" s="36">
        <v>8</v>
      </c>
      <c r="AH118" s="138">
        <f t="shared" si="231"/>
        <v>14</v>
      </c>
      <c r="AI118" s="36">
        <f t="shared" si="232"/>
        <v>14</v>
      </c>
      <c r="AJ118" s="36">
        <f t="shared" si="233"/>
        <v>30</v>
      </c>
      <c r="AK118" s="36">
        <f t="shared" si="234"/>
        <v>16</v>
      </c>
      <c r="AL118" s="36">
        <f t="shared" si="235"/>
        <v>15</v>
      </c>
      <c r="AM118" s="36">
        <f t="shared" si="236"/>
        <v>27</v>
      </c>
      <c r="AN118" s="36">
        <f t="shared" si="237"/>
        <v>15</v>
      </c>
      <c r="AO118" s="36">
        <f t="shared" si="238"/>
        <v>15</v>
      </c>
      <c r="AP118" s="36">
        <f t="shared" si="239"/>
        <v>14</v>
      </c>
      <c r="AQ118" s="36">
        <f t="shared" si="240"/>
        <v>14</v>
      </c>
      <c r="AR118" s="36">
        <f t="shared" si="241"/>
        <v>15</v>
      </c>
      <c r="AS118" s="36">
        <f t="shared" si="242"/>
        <v>16</v>
      </c>
      <c r="AT118" s="36">
        <f t="shared" si="243"/>
        <v>15</v>
      </c>
      <c r="AU118" s="36">
        <f t="shared" si="244"/>
        <v>14</v>
      </c>
      <c r="AV118" s="36">
        <f t="shared" si="245"/>
        <v>15</v>
      </c>
      <c r="AW118" s="36">
        <f t="shared" si="246"/>
        <v>17</v>
      </c>
      <c r="AX118" s="36">
        <f t="shared" si="247"/>
        <v>14</v>
      </c>
      <c r="AY118" s="36">
        <f t="shared" si="248"/>
        <v>0</v>
      </c>
      <c r="AZ118" s="36">
        <f t="shared" si="249"/>
        <v>0</v>
      </c>
      <c r="BA118" s="36">
        <f t="shared" si="250"/>
        <v>0</v>
      </c>
      <c r="BB118" s="36">
        <f t="shared" si="251"/>
        <v>0</v>
      </c>
      <c r="BC118" s="36">
        <f t="shared" si="252"/>
        <v>0</v>
      </c>
      <c r="BD118" s="36">
        <f t="shared" si="253"/>
        <v>0</v>
      </c>
      <c r="BE118" s="36">
        <f t="shared" si="254"/>
        <v>0</v>
      </c>
      <c r="BF118" s="36">
        <f t="shared" si="255"/>
        <v>0</v>
      </c>
      <c r="BG118" s="36">
        <f t="shared" si="256"/>
        <v>0</v>
      </c>
      <c r="BH118" s="149">
        <f t="shared" si="257"/>
        <v>0</v>
      </c>
    </row>
    <row r="119" spans="33:60" x14ac:dyDescent="0.25">
      <c r="AG119" s="36">
        <v>9</v>
      </c>
      <c r="AH119" s="138">
        <f t="shared" si="231"/>
        <v>17</v>
      </c>
      <c r="AI119" s="36">
        <f t="shared" si="232"/>
        <v>31</v>
      </c>
      <c r="AJ119" s="36">
        <f t="shared" si="233"/>
        <v>17</v>
      </c>
      <c r="AK119" s="36">
        <f t="shared" si="234"/>
        <v>17</v>
      </c>
      <c r="AL119" s="36">
        <f t="shared" si="235"/>
        <v>16</v>
      </c>
      <c r="AM119" s="36">
        <f t="shared" si="236"/>
        <v>16</v>
      </c>
      <c r="AN119" s="36">
        <f t="shared" si="237"/>
        <v>17</v>
      </c>
      <c r="AO119" s="36">
        <f t="shared" si="238"/>
        <v>18</v>
      </c>
      <c r="AP119" s="36">
        <f t="shared" si="239"/>
        <v>17</v>
      </c>
      <c r="AQ119" s="36">
        <f t="shared" si="240"/>
        <v>16</v>
      </c>
      <c r="AR119" s="36">
        <f t="shared" si="241"/>
        <v>17</v>
      </c>
      <c r="AS119" s="36">
        <f t="shared" si="242"/>
        <v>17</v>
      </c>
      <c r="AT119" s="36">
        <f t="shared" si="243"/>
        <v>16</v>
      </c>
      <c r="AU119" s="36">
        <f t="shared" si="244"/>
        <v>16</v>
      </c>
      <c r="AV119" s="36">
        <f t="shared" si="245"/>
        <v>0</v>
      </c>
      <c r="AW119" s="36">
        <f t="shared" si="246"/>
        <v>0</v>
      </c>
      <c r="AX119" s="36">
        <f t="shared" si="247"/>
        <v>0</v>
      </c>
      <c r="AY119" s="36">
        <f t="shared" si="248"/>
        <v>0</v>
      </c>
      <c r="AZ119" s="36">
        <f t="shared" si="249"/>
        <v>0</v>
      </c>
      <c r="BA119" s="36">
        <f t="shared" si="250"/>
        <v>0</v>
      </c>
      <c r="BB119" s="36">
        <f t="shared" si="251"/>
        <v>0</v>
      </c>
      <c r="BC119" s="36">
        <f t="shared" si="252"/>
        <v>0</v>
      </c>
      <c r="BD119" s="36">
        <f t="shared" si="253"/>
        <v>0</v>
      </c>
      <c r="BE119" s="36">
        <f t="shared" si="254"/>
        <v>0</v>
      </c>
      <c r="BF119" s="36">
        <f t="shared" si="255"/>
        <v>0</v>
      </c>
      <c r="BG119" s="36">
        <f t="shared" si="256"/>
        <v>0</v>
      </c>
      <c r="BH119" s="149">
        <f t="shared" si="257"/>
        <v>0</v>
      </c>
    </row>
    <row r="120" spans="33:60" x14ac:dyDescent="0.25">
      <c r="AG120" s="36">
        <v>10</v>
      </c>
      <c r="AH120" s="138">
        <f t="shared" si="231"/>
        <v>18</v>
      </c>
      <c r="AI120" s="36">
        <f t="shared" si="232"/>
        <v>18</v>
      </c>
      <c r="AJ120" s="36">
        <f t="shared" si="233"/>
        <v>19</v>
      </c>
      <c r="AK120" s="36">
        <f t="shared" si="234"/>
        <v>20</v>
      </c>
      <c r="AL120" s="36">
        <f t="shared" si="235"/>
        <v>19</v>
      </c>
      <c r="AM120" s="36">
        <f t="shared" si="236"/>
        <v>18</v>
      </c>
      <c r="AN120" s="36">
        <f t="shared" si="237"/>
        <v>19</v>
      </c>
      <c r="AO120" s="36">
        <f t="shared" si="238"/>
        <v>19</v>
      </c>
      <c r="AP120" s="36">
        <f t="shared" si="239"/>
        <v>18</v>
      </c>
      <c r="AQ120" s="36">
        <f t="shared" si="240"/>
        <v>18</v>
      </c>
      <c r="AR120" s="36">
        <f t="shared" si="241"/>
        <v>19</v>
      </c>
      <c r="AS120" s="36">
        <f t="shared" si="242"/>
        <v>19</v>
      </c>
      <c r="AT120" s="36">
        <f t="shared" si="243"/>
        <v>18</v>
      </c>
      <c r="AU120" s="36">
        <f t="shared" si="244"/>
        <v>0</v>
      </c>
      <c r="AV120" s="36">
        <f t="shared" si="245"/>
        <v>0</v>
      </c>
      <c r="AW120" s="36">
        <f t="shared" si="246"/>
        <v>0</v>
      </c>
      <c r="AX120" s="36">
        <f t="shared" si="247"/>
        <v>0</v>
      </c>
      <c r="AY120" s="36">
        <f t="shared" si="248"/>
        <v>0</v>
      </c>
      <c r="AZ120" s="36">
        <f t="shared" si="249"/>
        <v>0</v>
      </c>
      <c r="BA120" s="36">
        <f t="shared" si="250"/>
        <v>0</v>
      </c>
      <c r="BB120" s="36">
        <f t="shared" si="251"/>
        <v>0</v>
      </c>
      <c r="BC120" s="36">
        <f t="shared" si="252"/>
        <v>0</v>
      </c>
      <c r="BD120" s="36">
        <f t="shared" si="253"/>
        <v>0</v>
      </c>
      <c r="BE120" s="36">
        <f t="shared" si="254"/>
        <v>0</v>
      </c>
      <c r="BF120" s="36">
        <f t="shared" si="255"/>
        <v>0</v>
      </c>
      <c r="BG120" s="36">
        <f t="shared" si="256"/>
        <v>0</v>
      </c>
      <c r="BH120" s="149">
        <f t="shared" si="257"/>
        <v>0</v>
      </c>
    </row>
    <row r="121" spans="33:60" x14ac:dyDescent="0.25">
      <c r="AG121" s="36">
        <v>11</v>
      </c>
      <c r="AH121" s="138">
        <f t="shared" si="231"/>
        <v>21</v>
      </c>
      <c r="AI121" s="36">
        <f t="shared" si="232"/>
        <v>20</v>
      </c>
      <c r="AJ121" s="36">
        <f t="shared" si="233"/>
        <v>21</v>
      </c>
      <c r="AK121" s="36">
        <f t="shared" si="234"/>
        <v>21</v>
      </c>
      <c r="AL121" s="36">
        <f t="shared" si="235"/>
        <v>20</v>
      </c>
      <c r="AM121" s="36">
        <f t="shared" si="236"/>
        <v>20</v>
      </c>
      <c r="AN121" s="36">
        <f t="shared" si="237"/>
        <v>21</v>
      </c>
      <c r="AO121" s="36">
        <f t="shared" si="238"/>
        <v>22</v>
      </c>
      <c r="AP121" s="36">
        <f t="shared" si="239"/>
        <v>21</v>
      </c>
      <c r="AQ121" s="36">
        <f t="shared" si="240"/>
        <v>20</v>
      </c>
      <c r="AR121" s="36">
        <f t="shared" si="241"/>
        <v>0</v>
      </c>
      <c r="AS121" s="36">
        <f t="shared" si="242"/>
        <v>0</v>
      </c>
      <c r="AT121" s="36">
        <f t="shared" si="243"/>
        <v>0</v>
      </c>
      <c r="AU121" s="36">
        <f t="shared" si="244"/>
        <v>0</v>
      </c>
      <c r="AV121" s="36">
        <f t="shared" si="245"/>
        <v>0</v>
      </c>
      <c r="AW121" s="36">
        <f t="shared" si="246"/>
        <v>0</v>
      </c>
      <c r="AX121" s="36">
        <f t="shared" si="247"/>
        <v>0</v>
      </c>
      <c r="AY121" s="36">
        <f t="shared" si="248"/>
        <v>0</v>
      </c>
      <c r="AZ121" s="36">
        <f t="shared" si="249"/>
        <v>0</v>
      </c>
      <c r="BA121" s="36">
        <f t="shared" si="250"/>
        <v>0</v>
      </c>
      <c r="BB121" s="36">
        <f t="shared" si="251"/>
        <v>0</v>
      </c>
      <c r="BC121" s="36">
        <f t="shared" si="252"/>
        <v>0</v>
      </c>
      <c r="BD121" s="36">
        <f t="shared" si="253"/>
        <v>0</v>
      </c>
      <c r="BE121" s="36">
        <f t="shared" si="254"/>
        <v>0</v>
      </c>
      <c r="BF121" s="36">
        <f t="shared" si="255"/>
        <v>0</v>
      </c>
      <c r="BG121" s="36">
        <f t="shared" si="256"/>
        <v>0</v>
      </c>
      <c r="BH121" s="149">
        <f t="shared" si="257"/>
        <v>0</v>
      </c>
    </row>
    <row r="122" spans="33:60" x14ac:dyDescent="0.25">
      <c r="AG122" s="36">
        <v>12</v>
      </c>
      <c r="AH122" s="138">
        <f t="shared" si="231"/>
        <v>22</v>
      </c>
      <c r="AI122" s="36">
        <f t="shared" si="232"/>
        <v>22</v>
      </c>
      <c r="AJ122" s="36">
        <f t="shared" si="233"/>
        <v>23</v>
      </c>
      <c r="AK122" s="36">
        <f t="shared" si="234"/>
        <v>24</v>
      </c>
      <c r="AL122" s="36">
        <f t="shared" si="235"/>
        <v>23</v>
      </c>
      <c r="AM122" s="36">
        <f t="shared" si="236"/>
        <v>22</v>
      </c>
      <c r="AN122" s="36">
        <f t="shared" si="237"/>
        <v>23</v>
      </c>
      <c r="AO122" s="36">
        <f t="shared" si="238"/>
        <v>23</v>
      </c>
      <c r="AP122" s="36">
        <f t="shared" si="239"/>
        <v>22</v>
      </c>
      <c r="AQ122" s="36">
        <f t="shared" si="240"/>
        <v>0</v>
      </c>
      <c r="AR122" s="36">
        <f t="shared" si="241"/>
        <v>0</v>
      </c>
      <c r="AS122" s="36">
        <f t="shared" si="242"/>
        <v>0</v>
      </c>
      <c r="AT122" s="36">
        <f t="shared" si="243"/>
        <v>0</v>
      </c>
      <c r="AU122" s="36">
        <f t="shared" si="244"/>
        <v>0</v>
      </c>
      <c r="AV122" s="36">
        <f t="shared" si="245"/>
        <v>0</v>
      </c>
      <c r="AW122" s="36">
        <f t="shared" si="246"/>
        <v>0</v>
      </c>
      <c r="AX122" s="36">
        <f t="shared" si="247"/>
        <v>0</v>
      </c>
      <c r="AY122" s="36">
        <f t="shared" si="248"/>
        <v>0</v>
      </c>
      <c r="AZ122" s="36">
        <f t="shared" si="249"/>
        <v>0</v>
      </c>
      <c r="BA122" s="36">
        <f t="shared" si="250"/>
        <v>0</v>
      </c>
      <c r="BB122" s="36">
        <f t="shared" si="251"/>
        <v>0</v>
      </c>
      <c r="BC122" s="36">
        <f t="shared" si="252"/>
        <v>0</v>
      </c>
      <c r="BD122" s="36">
        <f t="shared" si="253"/>
        <v>0</v>
      </c>
      <c r="BE122" s="36">
        <f t="shared" si="254"/>
        <v>0</v>
      </c>
      <c r="BF122" s="36">
        <f t="shared" si="255"/>
        <v>0</v>
      </c>
      <c r="BG122" s="36">
        <f t="shared" si="256"/>
        <v>0</v>
      </c>
      <c r="BH122" s="149">
        <f t="shared" si="257"/>
        <v>0</v>
      </c>
    </row>
    <row r="123" spans="33:60" x14ac:dyDescent="0.25">
      <c r="AG123" s="36">
        <v>13</v>
      </c>
      <c r="AH123" s="138">
        <f t="shared" si="231"/>
        <v>25</v>
      </c>
      <c r="AI123" s="36">
        <f t="shared" si="232"/>
        <v>24</v>
      </c>
      <c r="AJ123" s="36">
        <f t="shared" si="233"/>
        <v>25</v>
      </c>
      <c r="AK123" s="36">
        <f t="shared" si="234"/>
        <v>25</v>
      </c>
      <c r="AL123" s="36">
        <f t="shared" si="235"/>
        <v>24</v>
      </c>
      <c r="AM123" s="36">
        <f t="shared" si="236"/>
        <v>24</v>
      </c>
      <c r="AN123" s="36">
        <f t="shared" si="237"/>
        <v>0</v>
      </c>
      <c r="AO123" s="36">
        <f t="shared" si="238"/>
        <v>0</v>
      </c>
      <c r="AP123" s="36">
        <f t="shared" si="239"/>
        <v>0</v>
      </c>
      <c r="AQ123" s="36">
        <f t="shared" si="240"/>
        <v>0</v>
      </c>
      <c r="AR123" s="36">
        <f t="shared" si="241"/>
        <v>0</v>
      </c>
      <c r="AS123" s="36">
        <f t="shared" si="242"/>
        <v>0</v>
      </c>
      <c r="AT123" s="36">
        <f t="shared" si="243"/>
        <v>0</v>
      </c>
      <c r="AU123" s="36">
        <f t="shared" si="244"/>
        <v>0</v>
      </c>
      <c r="AV123" s="36">
        <f t="shared" si="245"/>
        <v>0</v>
      </c>
      <c r="AW123" s="36">
        <f t="shared" si="246"/>
        <v>0</v>
      </c>
      <c r="AX123" s="36">
        <f t="shared" si="247"/>
        <v>0</v>
      </c>
      <c r="AY123" s="36">
        <f t="shared" si="248"/>
        <v>0</v>
      </c>
      <c r="AZ123" s="36">
        <f t="shared" si="249"/>
        <v>0</v>
      </c>
      <c r="BA123" s="36">
        <f t="shared" si="250"/>
        <v>0</v>
      </c>
      <c r="BB123" s="36">
        <f t="shared" si="251"/>
        <v>0</v>
      </c>
      <c r="BC123" s="36">
        <f t="shared" si="252"/>
        <v>0</v>
      </c>
      <c r="BD123" s="36">
        <f t="shared" si="253"/>
        <v>0</v>
      </c>
      <c r="BE123" s="36">
        <f t="shared" si="254"/>
        <v>0</v>
      </c>
      <c r="BF123" s="36">
        <f t="shared" si="255"/>
        <v>0</v>
      </c>
      <c r="BG123" s="36">
        <f t="shared" si="256"/>
        <v>0</v>
      </c>
      <c r="BH123" s="149">
        <f t="shared" si="257"/>
        <v>0</v>
      </c>
    </row>
    <row r="124" spans="33:60" x14ac:dyDescent="0.25">
      <c r="AG124" s="36">
        <v>14</v>
      </c>
      <c r="AH124" s="138">
        <f t="shared" si="231"/>
        <v>26</v>
      </c>
      <c r="AI124" s="36">
        <f t="shared" si="232"/>
        <v>26</v>
      </c>
      <c r="AJ124" s="36">
        <f t="shared" si="233"/>
        <v>27</v>
      </c>
      <c r="AK124" s="36">
        <f t="shared" si="234"/>
        <v>27</v>
      </c>
      <c r="AL124" s="36">
        <f t="shared" si="235"/>
        <v>26</v>
      </c>
      <c r="AM124" s="36">
        <f t="shared" si="236"/>
        <v>0</v>
      </c>
      <c r="AN124" s="36">
        <f t="shared" si="237"/>
        <v>0</v>
      </c>
      <c r="AO124" s="36">
        <f t="shared" si="238"/>
        <v>0</v>
      </c>
      <c r="AP124" s="36">
        <f t="shared" si="239"/>
        <v>0</v>
      </c>
      <c r="AQ124" s="36">
        <f t="shared" si="240"/>
        <v>0</v>
      </c>
      <c r="AR124" s="36">
        <f t="shared" si="241"/>
        <v>0</v>
      </c>
      <c r="AS124" s="36">
        <f t="shared" si="242"/>
        <v>0</v>
      </c>
      <c r="AT124" s="36">
        <f t="shared" si="243"/>
        <v>0</v>
      </c>
      <c r="AU124" s="36">
        <f t="shared" si="244"/>
        <v>0</v>
      </c>
      <c r="AV124" s="36">
        <f t="shared" si="245"/>
        <v>0</v>
      </c>
      <c r="AW124" s="36">
        <f t="shared" si="246"/>
        <v>0</v>
      </c>
      <c r="AX124" s="36">
        <f t="shared" si="247"/>
        <v>0</v>
      </c>
      <c r="AY124" s="36">
        <f t="shared" si="248"/>
        <v>0</v>
      </c>
      <c r="AZ124" s="36">
        <f t="shared" si="249"/>
        <v>0</v>
      </c>
      <c r="BA124" s="36">
        <f t="shared" si="250"/>
        <v>0</v>
      </c>
      <c r="BB124" s="36">
        <f t="shared" si="251"/>
        <v>0</v>
      </c>
      <c r="BC124" s="36">
        <f t="shared" si="252"/>
        <v>0</v>
      </c>
      <c r="BD124" s="36">
        <f t="shared" si="253"/>
        <v>0</v>
      </c>
      <c r="BE124" s="36">
        <f t="shared" si="254"/>
        <v>0</v>
      </c>
      <c r="BF124" s="36">
        <f t="shared" si="255"/>
        <v>0</v>
      </c>
      <c r="BG124" s="36">
        <f t="shared" si="256"/>
        <v>0</v>
      </c>
      <c r="BH124" s="149">
        <f t="shared" si="257"/>
        <v>0</v>
      </c>
    </row>
    <row r="125" spans="33:60" x14ac:dyDescent="0.25">
      <c r="AG125" s="36">
        <v>15</v>
      </c>
      <c r="AH125" s="138">
        <f t="shared" si="231"/>
        <v>29</v>
      </c>
      <c r="AI125" s="36">
        <f t="shared" si="232"/>
        <v>28</v>
      </c>
      <c r="AJ125" s="36">
        <f t="shared" si="233"/>
        <v>0</v>
      </c>
      <c r="AK125" s="36">
        <f t="shared" si="234"/>
        <v>0</v>
      </c>
      <c r="AL125" s="36">
        <f t="shared" si="235"/>
        <v>0</v>
      </c>
      <c r="AM125" s="36">
        <f t="shared" si="236"/>
        <v>0</v>
      </c>
      <c r="AN125" s="36">
        <f t="shared" si="237"/>
        <v>0</v>
      </c>
      <c r="AO125" s="36">
        <f t="shared" si="238"/>
        <v>0</v>
      </c>
      <c r="AP125" s="36">
        <f t="shared" si="239"/>
        <v>0</v>
      </c>
      <c r="AQ125" s="36">
        <f t="shared" si="240"/>
        <v>0</v>
      </c>
      <c r="AR125" s="36">
        <f t="shared" si="241"/>
        <v>0</v>
      </c>
      <c r="AS125" s="36">
        <f t="shared" si="242"/>
        <v>0</v>
      </c>
      <c r="AT125" s="36">
        <f t="shared" si="243"/>
        <v>0</v>
      </c>
      <c r="AU125" s="36">
        <f t="shared" si="244"/>
        <v>0</v>
      </c>
      <c r="AV125" s="36">
        <f t="shared" si="245"/>
        <v>0</v>
      </c>
      <c r="AW125" s="36">
        <f t="shared" si="246"/>
        <v>0</v>
      </c>
      <c r="AX125" s="36">
        <f t="shared" si="247"/>
        <v>0</v>
      </c>
      <c r="AY125" s="36">
        <f t="shared" si="248"/>
        <v>0</v>
      </c>
      <c r="AZ125" s="36">
        <f t="shared" si="249"/>
        <v>0</v>
      </c>
      <c r="BA125" s="36">
        <f t="shared" si="250"/>
        <v>0</v>
      </c>
      <c r="BB125" s="36">
        <f t="shared" si="251"/>
        <v>0</v>
      </c>
      <c r="BC125" s="36">
        <f t="shared" si="252"/>
        <v>0</v>
      </c>
      <c r="BD125" s="36">
        <f t="shared" si="253"/>
        <v>0</v>
      </c>
      <c r="BE125" s="36">
        <f t="shared" si="254"/>
        <v>0</v>
      </c>
      <c r="BF125" s="36">
        <f t="shared" si="255"/>
        <v>0</v>
      </c>
      <c r="BG125" s="36">
        <f t="shared" si="256"/>
        <v>0</v>
      </c>
      <c r="BH125" s="149">
        <f t="shared" si="257"/>
        <v>0</v>
      </c>
    </row>
    <row r="126" spans="33:60" x14ac:dyDescent="0.25">
      <c r="AG126" s="36">
        <v>16</v>
      </c>
      <c r="AH126" s="142">
        <f t="shared" si="231"/>
        <v>30</v>
      </c>
      <c r="AI126" s="83">
        <f t="shared" si="232"/>
        <v>0</v>
      </c>
      <c r="AJ126" s="83">
        <f t="shared" si="233"/>
        <v>0</v>
      </c>
      <c r="AK126" s="83">
        <f t="shared" si="234"/>
        <v>0</v>
      </c>
      <c r="AL126" s="83">
        <f t="shared" si="235"/>
        <v>0</v>
      </c>
      <c r="AM126" s="83">
        <f t="shared" si="236"/>
        <v>0</v>
      </c>
      <c r="AN126" s="83">
        <f t="shared" si="237"/>
        <v>0</v>
      </c>
      <c r="AO126" s="83">
        <f t="shared" si="238"/>
        <v>0</v>
      </c>
      <c r="AP126" s="83">
        <f t="shared" si="239"/>
        <v>0</v>
      </c>
      <c r="AQ126" s="83">
        <f t="shared" si="240"/>
        <v>0</v>
      </c>
      <c r="AR126" s="83">
        <f t="shared" si="241"/>
        <v>0</v>
      </c>
      <c r="AS126" s="83">
        <f t="shared" si="242"/>
        <v>0</v>
      </c>
      <c r="AT126" s="83">
        <f t="shared" si="243"/>
        <v>0</v>
      </c>
      <c r="AU126" s="83">
        <f t="shared" si="244"/>
        <v>0</v>
      </c>
      <c r="AV126" s="83">
        <f t="shared" si="245"/>
        <v>0</v>
      </c>
      <c r="AW126" s="83">
        <f t="shared" si="246"/>
        <v>0</v>
      </c>
      <c r="AX126" s="83">
        <f t="shared" si="247"/>
        <v>0</v>
      </c>
      <c r="AY126" s="83">
        <f t="shared" si="248"/>
        <v>0</v>
      </c>
      <c r="AZ126" s="83">
        <f t="shared" si="249"/>
        <v>0</v>
      </c>
      <c r="BA126" s="83">
        <f t="shared" si="250"/>
        <v>0</v>
      </c>
      <c r="BB126" s="83">
        <f t="shared" si="251"/>
        <v>0</v>
      </c>
      <c r="BC126" s="83">
        <f t="shared" si="252"/>
        <v>0</v>
      </c>
      <c r="BD126" s="83">
        <f t="shared" si="253"/>
        <v>0</v>
      </c>
      <c r="BE126" s="83">
        <f t="shared" si="254"/>
        <v>0</v>
      </c>
      <c r="BF126" s="83">
        <f t="shared" si="255"/>
        <v>0</v>
      </c>
      <c r="BG126" s="83">
        <f t="shared" si="256"/>
        <v>0</v>
      </c>
      <c r="BH126" s="143">
        <f t="shared" si="257"/>
        <v>0</v>
      </c>
    </row>
    <row r="128" spans="33:60" x14ac:dyDescent="0.25">
      <c r="AG128" s="67" t="str">
        <f>AG108</f>
        <v>2. kolo</v>
      </c>
      <c r="AI128" s="67" t="str">
        <f>AI88</f>
        <v>modrý</v>
      </c>
    </row>
    <row r="129" spans="33:60" x14ac:dyDescent="0.25">
      <c r="AH129" s="36">
        <v>32</v>
      </c>
      <c r="AI129" s="36">
        <f>AH129-1</f>
        <v>31</v>
      </c>
      <c r="AJ129" s="36">
        <f t="shared" ref="AJ129:BH129" si="258">AI129-1</f>
        <v>30</v>
      </c>
      <c r="AK129" s="36">
        <f t="shared" si="258"/>
        <v>29</v>
      </c>
      <c r="AL129" s="36">
        <f t="shared" si="258"/>
        <v>28</v>
      </c>
      <c r="AM129" s="36">
        <f t="shared" si="258"/>
        <v>27</v>
      </c>
      <c r="AN129" s="36">
        <f t="shared" si="258"/>
        <v>26</v>
      </c>
      <c r="AO129" s="36">
        <f t="shared" si="258"/>
        <v>25</v>
      </c>
      <c r="AP129" s="36">
        <f t="shared" si="258"/>
        <v>24</v>
      </c>
      <c r="AQ129" s="36">
        <f t="shared" si="258"/>
        <v>23</v>
      </c>
      <c r="AR129" s="36">
        <f t="shared" si="258"/>
        <v>22</v>
      </c>
      <c r="AS129" s="36">
        <f t="shared" si="258"/>
        <v>21</v>
      </c>
      <c r="AT129" s="36">
        <f t="shared" si="258"/>
        <v>20</v>
      </c>
      <c r="AU129" s="36">
        <f t="shared" si="258"/>
        <v>19</v>
      </c>
      <c r="AV129" s="36">
        <f t="shared" si="258"/>
        <v>18</v>
      </c>
      <c r="AW129" s="36">
        <f t="shared" si="258"/>
        <v>17</v>
      </c>
      <c r="AX129" s="36">
        <f t="shared" si="258"/>
        <v>16</v>
      </c>
      <c r="AY129" s="36">
        <f t="shared" si="258"/>
        <v>15</v>
      </c>
      <c r="AZ129" s="36">
        <f t="shared" si="258"/>
        <v>14</v>
      </c>
      <c r="BA129" s="36">
        <f t="shared" si="258"/>
        <v>13</v>
      </c>
      <c r="BB129" s="36">
        <f t="shared" si="258"/>
        <v>12</v>
      </c>
      <c r="BC129" s="36">
        <f t="shared" si="258"/>
        <v>11</v>
      </c>
      <c r="BD129" s="36">
        <f t="shared" si="258"/>
        <v>10</v>
      </c>
      <c r="BE129" s="36">
        <f t="shared" si="258"/>
        <v>9</v>
      </c>
      <c r="BF129" s="36">
        <f t="shared" si="258"/>
        <v>8</v>
      </c>
      <c r="BG129" s="36">
        <f t="shared" si="258"/>
        <v>7</v>
      </c>
      <c r="BH129" s="36">
        <f t="shared" si="258"/>
        <v>6</v>
      </c>
    </row>
    <row r="130" spans="33:60" x14ac:dyDescent="0.25">
      <c r="AH130" s="83">
        <v>1</v>
      </c>
      <c r="AI130" s="83">
        <f>AH130+1</f>
        <v>2</v>
      </c>
      <c r="AJ130" s="83">
        <f t="shared" ref="AJ130:BH130" si="259">AI130+1</f>
        <v>3</v>
      </c>
      <c r="AK130" s="83">
        <f t="shared" si="259"/>
        <v>4</v>
      </c>
      <c r="AL130" s="83">
        <f t="shared" si="259"/>
        <v>5</v>
      </c>
      <c r="AM130" s="83">
        <f t="shared" si="259"/>
        <v>6</v>
      </c>
      <c r="AN130" s="83">
        <f t="shared" si="259"/>
        <v>7</v>
      </c>
      <c r="AO130" s="83">
        <f t="shared" si="259"/>
        <v>8</v>
      </c>
      <c r="AP130" s="83">
        <f t="shared" si="259"/>
        <v>9</v>
      </c>
      <c r="AQ130" s="83">
        <f t="shared" si="259"/>
        <v>10</v>
      </c>
      <c r="AR130" s="83">
        <f t="shared" si="259"/>
        <v>11</v>
      </c>
      <c r="AS130" s="83">
        <f t="shared" si="259"/>
        <v>12</v>
      </c>
      <c r="AT130" s="83">
        <f t="shared" si="259"/>
        <v>13</v>
      </c>
      <c r="AU130" s="83">
        <f t="shared" si="259"/>
        <v>14</v>
      </c>
      <c r="AV130" s="83">
        <f t="shared" si="259"/>
        <v>15</v>
      </c>
      <c r="AW130" s="83">
        <f t="shared" si="259"/>
        <v>16</v>
      </c>
      <c r="AX130" s="83">
        <f t="shared" si="259"/>
        <v>17</v>
      </c>
      <c r="AY130" s="83">
        <f t="shared" si="259"/>
        <v>18</v>
      </c>
      <c r="AZ130" s="83">
        <f t="shared" si="259"/>
        <v>19</v>
      </c>
      <c r="BA130" s="83">
        <f t="shared" si="259"/>
        <v>20</v>
      </c>
      <c r="BB130" s="83">
        <f t="shared" si="259"/>
        <v>21</v>
      </c>
      <c r="BC130" s="83">
        <f t="shared" si="259"/>
        <v>22</v>
      </c>
      <c r="BD130" s="83">
        <f t="shared" si="259"/>
        <v>23</v>
      </c>
      <c r="BE130" s="83">
        <f t="shared" si="259"/>
        <v>24</v>
      </c>
      <c r="BF130" s="83">
        <f t="shared" si="259"/>
        <v>25</v>
      </c>
      <c r="BG130" s="83">
        <f t="shared" si="259"/>
        <v>26</v>
      </c>
      <c r="BH130" s="83">
        <f t="shared" si="259"/>
        <v>27</v>
      </c>
    </row>
    <row r="131" spans="33:60" x14ac:dyDescent="0.25">
      <c r="AG131" s="36">
        <v>1</v>
      </c>
      <c r="AH131" s="138">
        <f>AM51</f>
        <v>3</v>
      </c>
      <c r="AI131" s="36">
        <f>AS51</f>
        <v>3</v>
      </c>
      <c r="AJ131" s="36">
        <f>AY51</f>
        <v>1</v>
      </c>
      <c r="AK131" s="36">
        <f>BE51</f>
        <v>1</v>
      </c>
      <c r="AL131" s="36">
        <f>BK51</f>
        <v>3</v>
      </c>
      <c r="AM131" s="36">
        <f>BQ51</f>
        <v>3</v>
      </c>
      <c r="AN131" s="36">
        <f>BW51</f>
        <v>1</v>
      </c>
      <c r="AO131" s="36">
        <f>CC51</f>
        <v>1</v>
      </c>
      <c r="AP131" s="36">
        <f>CI51</f>
        <v>3</v>
      </c>
      <c r="AQ131" s="36">
        <f>CO51</f>
        <v>3</v>
      </c>
      <c r="AR131" s="36">
        <f>CU51</f>
        <v>1</v>
      </c>
      <c r="AS131" s="36">
        <f>DA51</f>
        <v>1</v>
      </c>
      <c r="AT131" s="36">
        <f>DG51</f>
        <v>3</v>
      </c>
      <c r="AU131" s="36">
        <f>DM51</f>
        <v>3</v>
      </c>
      <c r="AV131" s="36">
        <f>DS51</f>
        <v>1</v>
      </c>
      <c r="AW131" s="36">
        <f>DY51</f>
        <v>1</v>
      </c>
      <c r="AX131" s="36">
        <f>EE51</f>
        <v>3</v>
      </c>
      <c r="AY131" s="36">
        <f>EK51</f>
        <v>3</v>
      </c>
      <c r="AZ131" s="36">
        <f>EQ51</f>
        <v>1</v>
      </c>
      <c r="BA131" s="36">
        <f>EW51</f>
        <v>1</v>
      </c>
      <c r="BB131" s="36">
        <f>FC51</f>
        <v>3</v>
      </c>
      <c r="BC131" s="36">
        <f>FI51</f>
        <v>3</v>
      </c>
      <c r="BD131" s="36">
        <f>FO51</f>
        <v>1</v>
      </c>
      <c r="BE131" s="36">
        <f>FU51</f>
        <v>1</v>
      </c>
      <c r="BF131" s="36">
        <f>GA51</f>
        <v>3</v>
      </c>
      <c r="BG131" s="36">
        <f>GG51</f>
        <v>3</v>
      </c>
      <c r="BH131" s="149">
        <f>GM51</f>
        <v>1</v>
      </c>
    </row>
    <row r="132" spans="33:60" x14ac:dyDescent="0.25">
      <c r="AG132" s="36">
        <v>2</v>
      </c>
      <c r="AH132" s="138">
        <f t="shared" ref="AH132:AH146" si="260">AM52</f>
        <v>4</v>
      </c>
      <c r="AI132" s="36">
        <f t="shared" ref="AI132:AI146" si="261">AS52</f>
        <v>4</v>
      </c>
      <c r="AJ132" s="36">
        <f t="shared" ref="AJ132:AJ146" si="262">AY52</f>
        <v>3</v>
      </c>
      <c r="AK132" s="36">
        <f t="shared" ref="AK132:AK146" si="263">BE52</f>
        <v>3</v>
      </c>
      <c r="AL132" s="36">
        <f t="shared" ref="AL132:AL146" si="264">BK52</f>
        <v>4</v>
      </c>
      <c r="AM132" s="36">
        <f t="shared" ref="AM132:AM146" si="265">BQ52</f>
        <v>4</v>
      </c>
      <c r="AN132" s="36">
        <f t="shared" ref="AN132:AN146" si="266">BW52</f>
        <v>3</v>
      </c>
      <c r="AO132" s="36">
        <f t="shared" ref="AO132:AO146" si="267">CC52</f>
        <v>3</v>
      </c>
      <c r="AP132" s="36">
        <f t="shared" ref="AP132:AP146" si="268">CI52</f>
        <v>4</v>
      </c>
      <c r="AQ132" s="36">
        <f t="shared" ref="AQ132:AQ146" si="269">CO52</f>
        <v>4</v>
      </c>
      <c r="AR132" s="36">
        <f t="shared" ref="AR132:AR146" si="270">CU52</f>
        <v>3</v>
      </c>
      <c r="AS132" s="36">
        <f t="shared" ref="AS132:AS146" si="271">DA52</f>
        <v>3</v>
      </c>
      <c r="AT132" s="36">
        <f t="shared" ref="AT132:AT146" si="272">DG52</f>
        <v>4</v>
      </c>
      <c r="AU132" s="36">
        <f t="shared" ref="AU132:AU146" si="273">DM52</f>
        <v>4</v>
      </c>
      <c r="AV132" s="36">
        <f t="shared" ref="AV132:AV146" si="274">DS52</f>
        <v>3</v>
      </c>
      <c r="AW132" s="36">
        <f t="shared" ref="AW132:AW146" si="275">DY52</f>
        <v>3</v>
      </c>
      <c r="AX132" s="36">
        <f t="shared" ref="AX132:AX146" si="276">EE52</f>
        <v>4</v>
      </c>
      <c r="AY132" s="36">
        <f t="shared" ref="AY132:AY146" si="277">EK52</f>
        <v>4</v>
      </c>
      <c r="AZ132" s="36">
        <f t="shared" ref="AZ132:AZ146" si="278">EQ52</f>
        <v>3</v>
      </c>
      <c r="BA132" s="36">
        <f t="shared" ref="BA132:BA146" si="279">EW52</f>
        <v>3</v>
      </c>
      <c r="BB132" s="36">
        <f t="shared" ref="BB132:BB146" si="280">FC52</f>
        <v>5</v>
      </c>
      <c r="BC132" s="36">
        <f t="shared" ref="BC132:BC146" si="281">FI52</f>
        <v>5</v>
      </c>
      <c r="BD132" s="36">
        <f t="shared" ref="BD132:BD146" si="282">FO52</f>
        <v>3</v>
      </c>
      <c r="BE132" s="36">
        <f t="shared" ref="BE132:BE146" si="283">FU52</f>
        <v>3</v>
      </c>
      <c r="BF132" s="36">
        <f t="shared" ref="BF132:BF146" si="284">GA52</f>
        <v>4</v>
      </c>
      <c r="BG132" s="36">
        <f t="shared" ref="BG132:BG146" si="285">GG52</f>
        <v>4</v>
      </c>
      <c r="BH132" s="149">
        <f t="shared" ref="BH132:BH146" si="286">GM52</f>
        <v>4</v>
      </c>
    </row>
    <row r="133" spans="33:60" x14ac:dyDescent="0.25">
      <c r="AG133" s="36">
        <v>3</v>
      </c>
      <c r="AH133" s="138">
        <f t="shared" si="260"/>
        <v>7</v>
      </c>
      <c r="AI133" s="36">
        <f t="shared" si="261"/>
        <v>7</v>
      </c>
      <c r="AJ133" s="36">
        <f t="shared" si="262"/>
        <v>5</v>
      </c>
      <c r="AK133" s="36">
        <f t="shared" si="263"/>
        <v>5</v>
      </c>
      <c r="AL133" s="36">
        <f t="shared" si="264"/>
        <v>7</v>
      </c>
      <c r="AM133" s="36">
        <f t="shared" si="265"/>
        <v>7</v>
      </c>
      <c r="AN133" s="36">
        <f t="shared" si="266"/>
        <v>5</v>
      </c>
      <c r="AO133" s="36">
        <f t="shared" si="267"/>
        <v>5</v>
      </c>
      <c r="AP133" s="36">
        <f t="shared" si="268"/>
        <v>7</v>
      </c>
      <c r="AQ133" s="36">
        <f t="shared" si="269"/>
        <v>7</v>
      </c>
      <c r="AR133" s="36">
        <f t="shared" si="270"/>
        <v>5</v>
      </c>
      <c r="AS133" s="36">
        <f t="shared" si="271"/>
        <v>5</v>
      </c>
      <c r="AT133" s="36">
        <f t="shared" si="272"/>
        <v>7</v>
      </c>
      <c r="AU133" s="36">
        <f t="shared" si="273"/>
        <v>7</v>
      </c>
      <c r="AV133" s="36">
        <f t="shared" si="274"/>
        <v>5</v>
      </c>
      <c r="AW133" s="36">
        <f t="shared" si="275"/>
        <v>5</v>
      </c>
      <c r="AX133" s="36">
        <f t="shared" si="276"/>
        <v>7</v>
      </c>
      <c r="AY133" s="36">
        <f t="shared" si="277"/>
        <v>7</v>
      </c>
      <c r="AZ133" s="36">
        <f t="shared" si="278"/>
        <v>5</v>
      </c>
      <c r="BA133" s="36">
        <f t="shared" si="279"/>
        <v>5</v>
      </c>
      <c r="BB133" s="36">
        <f t="shared" si="280"/>
        <v>6</v>
      </c>
      <c r="BC133" s="36">
        <f t="shared" si="281"/>
        <v>6</v>
      </c>
      <c r="BD133" s="36">
        <f t="shared" si="282"/>
        <v>6</v>
      </c>
      <c r="BE133" s="36">
        <f t="shared" si="283"/>
        <v>8</v>
      </c>
      <c r="BF133" s="36">
        <f t="shared" si="284"/>
        <v>7</v>
      </c>
      <c r="BG133" s="36">
        <f t="shared" si="285"/>
        <v>5</v>
      </c>
      <c r="BH133" s="149">
        <f t="shared" si="286"/>
        <v>0</v>
      </c>
    </row>
    <row r="134" spans="33:60" x14ac:dyDescent="0.25">
      <c r="AG134" s="36">
        <v>4</v>
      </c>
      <c r="AH134" s="138">
        <f t="shared" si="260"/>
        <v>8</v>
      </c>
      <c r="AI134" s="36">
        <f t="shared" si="261"/>
        <v>8</v>
      </c>
      <c r="AJ134" s="36">
        <f t="shared" si="262"/>
        <v>7</v>
      </c>
      <c r="AK134" s="36">
        <f t="shared" si="263"/>
        <v>7</v>
      </c>
      <c r="AL134" s="36">
        <f t="shared" si="264"/>
        <v>8</v>
      </c>
      <c r="AM134" s="36">
        <f t="shared" si="265"/>
        <v>8</v>
      </c>
      <c r="AN134" s="36">
        <f t="shared" si="266"/>
        <v>7</v>
      </c>
      <c r="AO134" s="36">
        <f t="shared" si="267"/>
        <v>7</v>
      </c>
      <c r="AP134" s="36">
        <f t="shared" si="268"/>
        <v>9</v>
      </c>
      <c r="AQ134" s="36">
        <f t="shared" si="269"/>
        <v>9</v>
      </c>
      <c r="AR134" s="36">
        <f t="shared" si="270"/>
        <v>7</v>
      </c>
      <c r="AS134" s="36">
        <f t="shared" si="271"/>
        <v>7</v>
      </c>
      <c r="AT134" s="36">
        <f t="shared" si="272"/>
        <v>9</v>
      </c>
      <c r="AU134" s="36">
        <f t="shared" si="273"/>
        <v>9</v>
      </c>
      <c r="AV134" s="36">
        <f t="shared" si="274"/>
        <v>7</v>
      </c>
      <c r="AW134" s="36">
        <f t="shared" si="275"/>
        <v>7</v>
      </c>
      <c r="AX134" s="36">
        <f t="shared" si="276"/>
        <v>8</v>
      </c>
      <c r="AY134" s="36">
        <f t="shared" si="277"/>
        <v>8</v>
      </c>
      <c r="AZ134" s="36">
        <f t="shared" si="278"/>
        <v>8</v>
      </c>
      <c r="BA134" s="36">
        <f t="shared" si="279"/>
        <v>10</v>
      </c>
      <c r="BB134" s="36">
        <f t="shared" si="280"/>
        <v>9</v>
      </c>
      <c r="BC134" s="36">
        <f t="shared" si="281"/>
        <v>7</v>
      </c>
      <c r="BD134" s="36">
        <f t="shared" si="282"/>
        <v>8</v>
      </c>
      <c r="BE134" s="36">
        <f t="shared" si="283"/>
        <v>9</v>
      </c>
      <c r="BF134" s="36">
        <f t="shared" si="284"/>
        <v>8</v>
      </c>
      <c r="BG134" s="36">
        <f t="shared" si="285"/>
        <v>0</v>
      </c>
      <c r="BH134" s="149">
        <f t="shared" si="286"/>
        <v>0</v>
      </c>
    </row>
    <row r="135" spans="33:60" x14ac:dyDescent="0.25">
      <c r="AG135" s="36">
        <v>5</v>
      </c>
      <c r="AH135" s="138">
        <f t="shared" si="260"/>
        <v>11</v>
      </c>
      <c r="AI135" s="36">
        <f t="shared" si="261"/>
        <v>11</v>
      </c>
      <c r="AJ135" s="36">
        <f t="shared" si="262"/>
        <v>9</v>
      </c>
      <c r="AK135" s="36">
        <f t="shared" si="263"/>
        <v>9</v>
      </c>
      <c r="AL135" s="36">
        <f t="shared" si="264"/>
        <v>11</v>
      </c>
      <c r="AM135" s="36">
        <f t="shared" si="265"/>
        <v>11</v>
      </c>
      <c r="AN135" s="36">
        <f t="shared" si="266"/>
        <v>9</v>
      </c>
      <c r="AO135" s="36">
        <f t="shared" si="267"/>
        <v>9</v>
      </c>
      <c r="AP135" s="36">
        <f t="shared" si="268"/>
        <v>11</v>
      </c>
      <c r="AQ135" s="36">
        <f t="shared" si="269"/>
        <v>11</v>
      </c>
      <c r="AR135" s="36">
        <f t="shared" si="270"/>
        <v>9</v>
      </c>
      <c r="AS135" s="36">
        <f t="shared" si="271"/>
        <v>9</v>
      </c>
      <c r="AT135" s="36">
        <f t="shared" si="272"/>
        <v>10</v>
      </c>
      <c r="AU135" s="36">
        <f t="shared" si="273"/>
        <v>10</v>
      </c>
      <c r="AV135" s="36">
        <f t="shared" si="274"/>
        <v>10</v>
      </c>
      <c r="AW135" s="36">
        <f t="shared" si="275"/>
        <v>12</v>
      </c>
      <c r="AX135" s="36">
        <f t="shared" si="276"/>
        <v>11</v>
      </c>
      <c r="AY135" s="36">
        <f t="shared" si="277"/>
        <v>9</v>
      </c>
      <c r="AZ135" s="36">
        <f t="shared" si="278"/>
        <v>10</v>
      </c>
      <c r="BA135" s="36">
        <f t="shared" si="279"/>
        <v>12</v>
      </c>
      <c r="BB135" s="36">
        <f t="shared" si="280"/>
        <v>11</v>
      </c>
      <c r="BC135" s="36">
        <f t="shared" si="281"/>
        <v>9</v>
      </c>
      <c r="BD135" s="36">
        <f t="shared" si="282"/>
        <v>0</v>
      </c>
      <c r="BE135" s="36">
        <f t="shared" si="283"/>
        <v>0</v>
      </c>
      <c r="BF135" s="36">
        <f t="shared" si="284"/>
        <v>0</v>
      </c>
      <c r="BG135" s="36">
        <f t="shared" si="285"/>
        <v>0</v>
      </c>
      <c r="BH135" s="149">
        <f t="shared" si="286"/>
        <v>0</v>
      </c>
    </row>
    <row r="136" spans="33:60" x14ac:dyDescent="0.25">
      <c r="AG136" s="36">
        <v>6</v>
      </c>
      <c r="AH136" s="138">
        <f t="shared" si="260"/>
        <v>12</v>
      </c>
      <c r="AI136" s="36">
        <f t="shared" si="261"/>
        <v>12</v>
      </c>
      <c r="AJ136" s="36">
        <f t="shared" si="262"/>
        <v>11</v>
      </c>
      <c r="AK136" s="36">
        <f t="shared" si="263"/>
        <v>11</v>
      </c>
      <c r="AL136" s="36">
        <f t="shared" si="264"/>
        <v>13</v>
      </c>
      <c r="AM136" s="36">
        <f t="shared" si="265"/>
        <v>13</v>
      </c>
      <c r="AN136" s="36">
        <f t="shared" si="266"/>
        <v>11</v>
      </c>
      <c r="AO136" s="36">
        <f t="shared" si="267"/>
        <v>11</v>
      </c>
      <c r="AP136" s="36">
        <f t="shared" si="268"/>
        <v>12</v>
      </c>
      <c r="AQ136" s="36">
        <f t="shared" si="269"/>
        <v>12</v>
      </c>
      <c r="AR136" s="36">
        <f t="shared" si="270"/>
        <v>12</v>
      </c>
      <c r="AS136" s="36">
        <f t="shared" si="271"/>
        <v>14</v>
      </c>
      <c r="AT136" s="36">
        <f t="shared" si="272"/>
        <v>13</v>
      </c>
      <c r="AU136" s="36">
        <f t="shared" si="273"/>
        <v>11</v>
      </c>
      <c r="AV136" s="36">
        <f t="shared" si="274"/>
        <v>12</v>
      </c>
      <c r="AW136" s="36">
        <f t="shared" si="275"/>
        <v>13</v>
      </c>
      <c r="AX136" s="36">
        <f t="shared" si="276"/>
        <v>12</v>
      </c>
      <c r="AY136" s="36">
        <f t="shared" si="277"/>
        <v>11</v>
      </c>
      <c r="AZ136" s="36">
        <f t="shared" si="278"/>
        <v>12</v>
      </c>
      <c r="BA136" s="36">
        <f t="shared" si="279"/>
        <v>13</v>
      </c>
      <c r="BB136" s="36">
        <f t="shared" si="280"/>
        <v>12</v>
      </c>
      <c r="BC136" s="36">
        <f t="shared" si="281"/>
        <v>0</v>
      </c>
      <c r="BD136" s="36">
        <f t="shared" si="282"/>
        <v>0</v>
      </c>
      <c r="BE136" s="36">
        <f t="shared" si="283"/>
        <v>0</v>
      </c>
      <c r="BF136" s="36">
        <f t="shared" si="284"/>
        <v>0</v>
      </c>
      <c r="BG136" s="36">
        <f t="shared" si="285"/>
        <v>0</v>
      </c>
      <c r="BH136" s="149">
        <f t="shared" si="286"/>
        <v>0</v>
      </c>
    </row>
    <row r="137" spans="33:60" x14ac:dyDescent="0.25">
      <c r="AG137" s="36">
        <v>7</v>
      </c>
      <c r="AH137" s="138">
        <f t="shared" si="260"/>
        <v>15</v>
      </c>
      <c r="AI137" s="36">
        <f t="shared" si="261"/>
        <v>15</v>
      </c>
      <c r="AJ137" s="36">
        <f t="shared" si="262"/>
        <v>13</v>
      </c>
      <c r="AK137" s="36">
        <f t="shared" si="263"/>
        <v>13</v>
      </c>
      <c r="AL137" s="36">
        <f t="shared" si="264"/>
        <v>14</v>
      </c>
      <c r="AM137" s="36">
        <f t="shared" si="265"/>
        <v>14</v>
      </c>
      <c r="AN137" s="36">
        <f t="shared" si="266"/>
        <v>14</v>
      </c>
      <c r="AO137" s="36">
        <f t="shared" si="267"/>
        <v>16</v>
      </c>
      <c r="AP137" s="36">
        <f t="shared" si="268"/>
        <v>15</v>
      </c>
      <c r="AQ137" s="36">
        <f t="shared" si="269"/>
        <v>13</v>
      </c>
      <c r="AR137" s="36">
        <f t="shared" si="270"/>
        <v>14</v>
      </c>
      <c r="AS137" s="36">
        <f t="shared" si="271"/>
        <v>15</v>
      </c>
      <c r="AT137" s="36">
        <f t="shared" si="272"/>
        <v>14</v>
      </c>
      <c r="AU137" s="36">
        <f t="shared" si="273"/>
        <v>13</v>
      </c>
      <c r="AV137" s="36">
        <f t="shared" si="274"/>
        <v>14</v>
      </c>
      <c r="AW137" s="36">
        <f t="shared" si="275"/>
        <v>16</v>
      </c>
      <c r="AX137" s="36">
        <f t="shared" si="276"/>
        <v>15</v>
      </c>
      <c r="AY137" s="36">
        <f t="shared" si="277"/>
        <v>13</v>
      </c>
      <c r="AZ137" s="36">
        <f t="shared" si="278"/>
        <v>0</v>
      </c>
      <c r="BA137" s="36">
        <f t="shared" si="279"/>
        <v>0</v>
      </c>
      <c r="BB137" s="36">
        <f t="shared" si="280"/>
        <v>0</v>
      </c>
      <c r="BC137" s="36">
        <f t="shared" si="281"/>
        <v>0</v>
      </c>
      <c r="BD137" s="36">
        <f t="shared" si="282"/>
        <v>0</v>
      </c>
      <c r="BE137" s="36">
        <f t="shared" si="283"/>
        <v>0</v>
      </c>
      <c r="BF137" s="36">
        <f t="shared" si="284"/>
        <v>0</v>
      </c>
      <c r="BG137" s="36">
        <f t="shared" si="285"/>
        <v>0</v>
      </c>
      <c r="BH137" s="149">
        <f t="shared" si="286"/>
        <v>0</v>
      </c>
    </row>
    <row r="138" spans="33:60" x14ac:dyDescent="0.25">
      <c r="AG138" s="36">
        <v>8</v>
      </c>
      <c r="AH138" s="138">
        <f t="shared" si="260"/>
        <v>16</v>
      </c>
      <c r="AI138" s="36">
        <f t="shared" si="261"/>
        <v>16</v>
      </c>
      <c r="AJ138" s="36">
        <f t="shared" si="262"/>
        <v>16</v>
      </c>
      <c r="AK138" s="36">
        <f t="shared" si="263"/>
        <v>18</v>
      </c>
      <c r="AL138" s="36">
        <f t="shared" si="264"/>
        <v>17</v>
      </c>
      <c r="AM138" s="36">
        <f t="shared" si="265"/>
        <v>15</v>
      </c>
      <c r="AN138" s="36">
        <f t="shared" si="266"/>
        <v>16</v>
      </c>
      <c r="AO138" s="36">
        <f t="shared" si="267"/>
        <v>17</v>
      </c>
      <c r="AP138" s="36">
        <f t="shared" si="268"/>
        <v>16</v>
      </c>
      <c r="AQ138" s="36">
        <f t="shared" si="269"/>
        <v>15</v>
      </c>
      <c r="AR138" s="36">
        <f t="shared" si="270"/>
        <v>16</v>
      </c>
      <c r="AS138" s="36">
        <f t="shared" si="271"/>
        <v>18</v>
      </c>
      <c r="AT138" s="36">
        <f t="shared" si="272"/>
        <v>17</v>
      </c>
      <c r="AU138" s="36">
        <f t="shared" si="273"/>
        <v>15</v>
      </c>
      <c r="AV138" s="36">
        <f t="shared" si="274"/>
        <v>16</v>
      </c>
      <c r="AW138" s="36">
        <f t="shared" si="275"/>
        <v>18</v>
      </c>
      <c r="AX138" s="36">
        <f t="shared" si="276"/>
        <v>16</v>
      </c>
      <c r="AY138" s="36">
        <f t="shared" si="277"/>
        <v>0</v>
      </c>
      <c r="AZ138" s="36">
        <f t="shared" si="278"/>
        <v>0</v>
      </c>
      <c r="BA138" s="36">
        <f t="shared" si="279"/>
        <v>0</v>
      </c>
      <c r="BB138" s="36">
        <f t="shared" si="280"/>
        <v>0</v>
      </c>
      <c r="BC138" s="36">
        <f t="shared" si="281"/>
        <v>0</v>
      </c>
      <c r="BD138" s="36">
        <f t="shared" si="282"/>
        <v>0</v>
      </c>
      <c r="BE138" s="36">
        <f t="shared" si="283"/>
        <v>0</v>
      </c>
      <c r="BF138" s="36">
        <f t="shared" si="284"/>
        <v>0</v>
      </c>
      <c r="BG138" s="36">
        <f t="shared" si="285"/>
        <v>0</v>
      </c>
      <c r="BH138" s="149">
        <f t="shared" si="286"/>
        <v>0</v>
      </c>
    </row>
    <row r="139" spans="33:60" x14ac:dyDescent="0.25">
      <c r="AG139" s="36">
        <v>9</v>
      </c>
      <c r="AH139" s="138">
        <f t="shared" si="260"/>
        <v>19</v>
      </c>
      <c r="AI139" s="36">
        <f t="shared" si="261"/>
        <v>17</v>
      </c>
      <c r="AJ139" s="36">
        <f t="shared" si="262"/>
        <v>18</v>
      </c>
      <c r="AK139" s="36">
        <f t="shared" si="263"/>
        <v>19</v>
      </c>
      <c r="AL139" s="36">
        <f t="shared" si="264"/>
        <v>18</v>
      </c>
      <c r="AM139" s="36">
        <f t="shared" si="265"/>
        <v>17</v>
      </c>
      <c r="AN139" s="36">
        <f t="shared" si="266"/>
        <v>18</v>
      </c>
      <c r="AO139" s="36">
        <f t="shared" si="267"/>
        <v>20</v>
      </c>
      <c r="AP139" s="36">
        <f t="shared" si="268"/>
        <v>19</v>
      </c>
      <c r="AQ139" s="36">
        <f t="shared" si="269"/>
        <v>17</v>
      </c>
      <c r="AR139" s="36">
        <f t="shared" si="270"/>
        <v>18</v>
      </c>
      <c r="AS139" s="36">
        <f t="shared" si="271"/>
        <v>20</v>
      </c>
      <c r="AT139" s="36">
        <f t="shared" si="272"/>
        <v>19</v>
      </c>
      <c r="AU139" s="36">
        <f t="shared" si="273"/>
        <v>17</v>
      </c>
      <c r="AV139" s="36">
        <f t="shared" si="274"/>
        <v>0</v>
      </c>
      <c r="AW139" s="36">
        <f t="shared" si="275"/>
        <v>0</v>
      </c>
      <c r="AX139" s="36">
        <f t="shared" si="276"/>
        <v>0</v>
      </c>
      <c r="AY139" s="36">
        <f t="shared" si="277"/>
        <v>0</v>
      </c>
      <c r="AZ139" s="36">
        <f t="shared" si="278"/>
        <v>0</v>
      </c>
      <c r="BA139" s="36">
        <f t="shared" si="279"/>
        <v>0</v>
      </c>
      <c r="BB139" s="36">
        <f t="shared" si="280"/>
        <v>0</v>
      </c>
      <c r="BC139" s="36">
        <f t="shared" si="281"/>
        <v>0</v>
      </c>
      <c r="BD139" s="36">
        <f t="shared" si="282"/>
        <v>0</v>
      </c>
      <c r="BE139" s="36">
        <f t="shared" si="283"/>
        <v>0</v>
      </c>
      <c r="BF139" s="36">
        <f t="shared" si="284"/>
        <v>0</v>
      </c>
      <c r="BG139" s="36">
        <f t="shared" si="285"/>
        <v>0</v>
      </c>
      <c r="BH139" s="149">
        <f t="shared" si="286"/>
        <v>0</v>
      </c>
    </row>
    <row r="140" spans="33:60" x14ac:dyDescent="0.25">
      <c r="AG140" s="36">
        <v>10</v>
      </c>
      <c r="AH140" s="138">
        <f t="shared" si="260"/>
        <v>20</v>
      </c>
      <c r="AI140" s="36">
        <f t="shared" si="261"/>
        <v>19</v>
      </c>
      <c r="AJ140" s="36">
        <f t="shared" si="262"/>
        <v>20</v>
      </c>
      <c r="AK140" s="36">
        <f t="shared" si="263"/>
        <v>22</v>
      </c>
      <c r="AL140" s="36">
        <f t="shared" si="264"/>
        <v>21</v>
      </c>
      <c r="AM140" s="36">
        <f t="shared" si="265"/>
        <v>19</v>
      </c>
      <c r="AN140" s="36">
        <f t="shared" si="266"/>
        <v>20</v>
      </c>
      <c r="AO140" s="36">
        <f t="shared" si="267"/>
        <v>21</v>
      </c>
      <c r="AP140" s="36">
        <f t="shared" si="268"/>
        <v>20</v>
      </c>
      <c r="AQ140" s="36">
        <f t="shared" si="269"/>
        <v>19</v>
      </c>
      <c r="AR140" s="36">
        <f t="shared" si="270"/>
        <v>20</v>
      </c>
      <c r="AS140" s="36">
        <f t="shared" si="271"/>
        <v>21</v>
      </c>
      <c r="AT140" s="36">
        <f t="shared" si="272"/>
        <v>20</v>
      </c>
      <c r="AU140" s="36">
        <f t="shared" si="273"/>
        <v>0</v>
      </c>
      <c r="AV140" s="36">
        <f t="shared" si="274"/>
        <v>0</v>
      </c>
      <c r="AW140" s="36">
        <f t="shared" si="275"/>
        <v>0</v>
      </c>
      <c r="AX140" s="36">
        <f t="shared" si="276"/>
        <v>0</v>
      </c>
      <c r="AY140" s="36">
        <f t="shared" si="277"/>
        <v>0</v>
      </c>
      <c r="AZ140" s="36">
        <f t="shared" si="278"/>
        <v>0</v>
      </c>
      <c r="BA140" s="36">
        <f t="shared" si="279"/>
        <v>0</v>
      </c>
      <c r="BB140" s="36">
        <f t="shared" si="280"/>
        <v>0</v>
      </c>
      <c r="BC140" s="36">
        <f t="shared" si="281"/>
        <v>0</v>
      </c>
      <c r="BD140" s="36">
        <f t="shared" si="282"/>
        <v>0</v>
      </c>
      <c r="BE140" s="36">
        <f t="shared" si="283"/>
        <v>0</v>
      </c>
      <c r="BF140" s="36">
        <f t="shared" si="284"/>
        <v>0</v>
      </c>
      <c r="BG140" s="36">
        <f t="shared" si="285"/>
        <v>0</v>
      </c>
      <c r="BH140" s="149">
        <f t="shared" si="286"/>
        <v>0</v>
      </c>
    </row>
    <row r="141" spans="33:60" x14ac:dyDescent="0.25">
      <c r="AG141" s="36">
        <v>11</v>
      </c>
      <c r="AH141" s="138">
        <f t="shared" si="260"/>
        <v>23</v>
      </c>
      <c r="AI141" s="36">
        <f t="shared" si="261"/>
        <v>21</v>
      </c>
      <c r="AJ141" s="36">
        <f t="shared" si="262"/>
        <v>22</v>
      </c>
      <c r="AK141" s="36">
        <f t="shared" si="263"/>
        <v>23</v>
      </c>
      <c r="AL141" s="36">
        <f t="shared" si="264"/>
        <v>22</v>
      </c>
      <c r="AM141" s="36">
        <f t="shared" si="265"/>
        <v>21</v>
      </c>
      <c r="AN141" s="36">
        <f t="shared" si="266"/>
        <v>22</v>
      </c>
      <c r="AO141" s="36">
        <f t="shared" si="267"/>
        <v>24</v>
      </c>
      <c r="AP141" s="36">
        <f t="shared" si="268"/>
        <v>23</v>
      </c>
      <c r="AQ141" s="36">
        <f t="shared" si="269"/>
        <v>21</v>
      </c>
      <c r="AR141" s="36">
        <f t="shared" si="270"/>
        <v>0</v>
      </c>
      <c r="AS141" s="36">
        <f t="shared" si="271"/>
        <v>0</v>
      </c>
      <c r="AT141" s="36">
        <f t="shared" si="272"/>
        <v>0</v>
      </c>
      <c r="AU141" s="36">
        <f t="shared" si="273"/>
        <v>0</v>
      </c>
      <c r="AV141" s="36">
        <f t="shared" si="274"/>
        <v>0</v>
      </c>
      <c r="AW141" s="36">
        <f t="shared" si="275"/>
        <v>0</v>
      </c>
      <c r="AX141" s="36">
        <f t="shared" si="276"/>
        <v>0</v>
      </c>
      <c r="AY141" s="36">
        <f t="shared" si="277"/>
        <v>0</v>
      </c>
      <c r="AZ141" s="36">
        <f t="shared" si="278"/>
        <v>0</v>
      </c>
      <c r="BA141" s="36">
        <f t="shared" si="279"/>
        <v>0</v>
      </c>
      <c r="BB141" s="36">
        <f t="shared" si="280"/>
        <v>0</v>
      </c>
      <c r="BC141" s="36">
        <f t="shared" si="281"/>
        <v>0</v>
      </c>
      <c r="BD141" s="36">
        <f t="shared" si="282"/>
        <v>0</v>
      </c>
      <c r="BE141" s="36">
        <f t="shared" si="283"/>
        <v>0</v>
      </c>
      <c r="BF141" s="36">
        <f t="shared" si="284"/>
        <v>0</v>
      </c>
      <c r="BG141" s="36">
        <f t="shared" si="285"/>
        <v>0</v>
      </c>
      <c r="BH141" s="149">
        <f t="shared" si="286"/>
        <v>0</v>
      </c>
    </row>
    <row r="142" spans="33:60" x14ac:dyDescent="0.25">
      <c r="AG142" s="36">
        <v>12</v>
      </c>
      <c r="AH142" s="138">
        <f t="shared" si="260"/>
        <v>24</v>
      </c>
      <c r="AI142" s="36">
        <f t="shared" si="261"/>
        <v>23</v>
      </c>
      <c r="AJ142" s="36">
        <f t="shared" si="262"/>
        <v>24</v>
      </c>
      <c r="AK142" s="36">
        <f t="shared" si="263"/>
        <v>26</v>
      </c>
      <c r="AL142" s="36">
        <f t="shared" si="264"/>
        <v>25</v>
      </c>
      <c r="AM142" s="36">
        <f t="shared" si="265"/>
        <v>23</v>
      </c>
      <c r="AN142" s="36">
        <f t="shared" si="266"/>
        <v>24</v>
      </c>
      <c r="AO142" s="36">
        <f t="shared" si="267"/>
        <v>25</v>
      </c>
      <c r="AP142" s="36">
        <f t="shared" si="268"/>
        <v>24</v>
      </c>
      <c r="AQ142" s="36">
        <f t="shared" si="269"/>
        <v>0</v>
      </c>
      <c r="AR142" s="36">
        <f t="shared" si="270"/>
        <v>0</v>
      </c>
      <c r="AS142" s="36">
        <f t="shared" si="271"/>
        <v>0</v>
      </c>
      <c r="AT142" s="36">
        <f t="shared" si="272"/>
        <v>0</v>
      </c>
      <c r="AU142" s="36">
        <f t="shared" si="273"/>
        <v>0</v>
      </c>
      <c r="AV142" s="36">
        <f t="shared" si="274"/>
        <v>0</v>
      </c>
      <c r="AW142" s="36">
        <f t="shared" si="275"/>
        <v>0</v>
      </c>
      <c r="AX142" s="36">
        <f t="shared" si="276"/>
        <v>0</v>
      </c>
      <c r="AY142" s="36">
        <f t="shared" si="277"/>
        <v>0</v>
      </c>
      <c r="AZ142" s="36">
        <f t="shared" si="278"/>
        <v>0</v>
      </c>
      <c r="BA142" s="36">
        <f t="shared" si="279"/>
        <v>0</v>
      </c>
      <c r="BB142" s="36">
        <f t="shared" si="280"/>
        <v>0</v>
      </c>
      <c r="BC142" s="36">
        <f t="shared" si="281"/>
        <v>0</v>
      </c>
      <c r="BD142" s="36">
        <f t="shared" si="282"/>
        <v>0</v>
      </c>
      <c r="BE142" s="36">
        <f t="shared" si="283"/>
        <v>0</v>
      </c>
      <c r="BF142" s="36">
        <f t="shared" si="284"/>
        <v>0</v>
      </c>
      <c r="BG142" s="36">
        <f t="shared" si="285"/>
        <v>0</v>
      </c>
      <c r="BH142" s="149">
        <f t="shared" si="286"/>
        <v>0</v>
      </c>
    </row>
    <row r="143" spans="33:60" x14ac:dyDescent="0.25">
      <c r="AG143" s="36">
        <v>13</v>
      </c>
      <c r="AH143" s="138">
        <f t="shared" si="260"/>
        <v>27</v>
      </c>
      <c r="AI143" s="36">
        <f t="shared" si="261"/>
        <v>25</v>
      </c>
      <c r="AJ143" s="36">
        <f t="shared" si="262"/>
        <v>26</v>
      </c>
      <c r="AK143" s="36">
        <f t="shared" si="263"/>
        <v>28</v>
      </c>
      <c r="AL143" s="36">
        <f t="shared" si="264"/>
        <v>27</v>
      </c>
      <c r="AM143" s="36">
        <f t="shared" si="265"/>
        <v>25</v>
      </c>
      <c r="AN143" s="36">
        <f t="shared" si="266"/>
        <v>0</v>
      </c>
      <c r="AO143" s="36">
        <f t="shared" si="267"/>
        <v>0</v>
      </c>
      <c r="AP143" s="36">
        <f t="shared" si="268"/>
        <v>0</v>
      </c>
      <c r="AQ143" s="36">
        <f t="shared" si="269"/>
        <v>0</v>
      </c>
      <c r="AR143" s="36">
        <f t="shared" si="270"/>
        <v>0</v>
      </c>
      <c r="AS143" s="36">
        <f t="shared" si="271"/>
        <v>0</v>
      </c>
      <c r="AT143" s="36">
        <f t="shared" si="272"/>
        <v>0</v>
      </c>
      <c r="AU143" s="36">
        <f t="shared" si="273"/>
        <v>0</v>
      </c>
      <c r="AV143" s="36">
        <f t="shared" si="274"/>
        <v>0</v>
      </c>
      <c r="AW143" s="36">
        <f t="shared" si="275"/>
        <v>0</v>
      </c>
      <c r="AX143" s="36">
        <f t="shared" si="276"/>
        <v>0</v>
      </c>
      <c r="AY143" s="36">
        <f t="shared" si="277"/>
        <v>0</v>
      </c>
      <c r="AZ143" s="36">
        <f t="shared" si="278"/>
        <v>0</v>
      </c>
      <c r="BA143" s="36">
        <f t="shared" si="279"/>
        <v>0</v>
      </c>
      <c r="BB143" s="36">
        <f t="shared" si="280"/>
        <v>0</v>
      </c>
      <c r="BC143" s="36">
        <f t="shared" si="281"/>
        <v>0</v>
      </c>
      <c r="BD143" s="36">
        <f t="shared" si="282"/>
        <v>0</v>
      </c>
      <c r="BE143" s="36">
        <f t="shared" si="283"/>
        <v>0</v>
      </c>
      <c r="BF143" s="36">
        <f t="shared" si="284"/>
        <v>0</v>
      </c>
      <c r="BG143" s="36">
        <f t="shared" si="285"/>
        <v>0</v>
      </c>
      <c r="BH143" s="149">
        <f t="shared" si="286"/>
        <v>0</v>
      </c>
    </row>
    <row r="144" spans="33:60" x14ac:dyDescent="0.25">
      <c r="AG144" s="36">
        <v>14</v>
      </c>
      <c r="AH144" s="138">
        <f t="shared" si="260"/>
        <v>28</v>
      </c>
      <c r="AI144" s="36">
        <f t="shared" si="261"/>
        <v>27</v>
      </c>
      <c r="AJ144" s="36">
        <f t="shared" si="262"/>
        <v>28</v>
      </c>
      <c r="AK144" s="36">
        <f t="shared" si="263"/>
        <v>29</v>
      </c>
      <c r="AL144" s="36">
        <f t="shared" si="264"/>
        <v>28</v>
      </c>
      <c r="AM144" s="36">
        <f t="shared" si="265"/>
        <v>0</v>
      </c>
      <c r="AN144" s="36">
        <f t="shared" si="266"/>
        <v>0</v>
      </c>
      <c r="AO144" s="36">
        <f t="shared" si="267"/>
        <v>0</v>
      </c>
      <c r="AP144" s="36">
        <f t="shared" si="268"/>
        <v>0</v>
      </c>
      <c r="AQ144" s="36">
        <f t="shared" si="269"/>
        <v>0</v>
      </c>
      <c r="AR144" s="36">
        <f t="shared" si="270"/>
        <v>0</v>
      </c>
      <c r="AS144" s="36">
        <f t="shared" si="271"/>
        <v>0</v>
      </c>
      <c r="AT144" s="36">
        <f t="shared" si="272"/>
        <v>0</v>
      </c>
      <c r="AU144" s="36">
        <f t="shared" si="273"/>
        <v>0</v>
      </c>
      <c r="AV144" s="36">
        <f t="shared" si="274"/>
        <v>0</v>
      </c>
      <c r="AW144" s="36">
        <f t="shared" si="275"/>
        <v>0</v>
      </c>
      <c r="AX144" s="36">
        <f t="shared" si="276"/>
        <v>0</v>
      </c>
      <c r="AY144" s="36">
        <f t="shared" si="277"/>
        <v>0</v>
      </c>
      <c r="AZ144" s="36">
        <f t="shared" si="278"/>
        <v>0</v>
      </c>
      <c r="BA144" s="36">
        <f t="shared" si="279"/>
        <v>0</v>
      </c>
      <c r="BB144" s="36">
        <f t="shared" si="280"/>
        <v>0</v>
      </c>
      <c r="BC144" s="36">
        <f t="shared" si="281"/>
        <v>0</v>
      </c>
      <c r="BD144" s="36">
        <f t="shared" si="282"/>
        <v>0</v>
      </c>
      <c r="BE144" s="36">
        <f t="shared" si="283"/>
        <v>0</v>
      </c>
      <c r="BF144" s="36">
        <f t="shared" si="284"/>
        <v>0</v>
      </c>
      <c r="BG144" s="36">
        <f t="shared" si="285"/>
        <v>0</v>
      </c>
      <c r="BH144" s="149">
        <f t="shared" si="286"/>
        <v>0</v>
      </c>
    </row>
    <row r="145" spans="20:60" x14ac:dyDescent="0.25">
      <c r="AG145" s="36">
        <v>15</v>
      </c>
      <c r="AH145" s="138">
        <f t="shared" si="260"/>
        <v>31</v>
      </c>
      <c r="AI145" s="36">
        <f t="shared" si="261"/>
        <v>29</v>
      </c>
      <c r="AJ145" s="36">
        <f t="shared" si="262"/>
        <v>0</v>
      </c>
      <c r="AK145" s="36">
        <f t="shared" si="263"/>
        <v>0</v>
      </c>
      <c r="AL145" s="36">
        <f t="shared" si="264"/>
        <v>0</v>
      </c>
      <c r="AM145" s="36">
        <f t="shared" si="265"/>
        <v>0</v>
      </c>
      <c r="AN145" s="36">
        <f t="shared" si="266"/>
        <v>0</v>
      </c>
      <c r="AO145" s="36">
        <f t="shared" si="267"/>
        <v>0</v>
      </c>
      <c r="AP145" s="36">
        <f t="shared" si="268"/>
        <v>0</v>
      </c>
      <c r="AQ145" s="36">
        <f t="shared" si="269"/>
        <v>0</v>
      </c>
      <c r="AR145" s="36">
        <f t="shared" si="270"/>
        <v>0</v>
      </c>
      <c r="AS145" s="36">
        <f t="shared" si="271"/>
        <v>0</v>
      </c>
      <c r="AT145" s="36">
        <f t="shared" si="272"/>
        <v>0</v>
      </c>
      <c r="AU145" s="36">
        <f t="shared" si="273"/>
        <v>0</v>
      </c>
      <c r="AV145" s="36">
        <f t="shared" si="274"/>
        <v>0</v>
      </c>
      <c r="AW145" s="36">
        <f t="shared" si="275"/>
        <v>0</v>
      </c>
      <c r="AX145" s="36">
        <f t="shared" si="276"/>
        <v>0</v>
      </c>
      <c r="AY145" s="36">
        <f t="shared" si="277"/>
        <v>0</v>
      </c>
      <c r="AZ145" s="36">
        <f t="shared" si="278"/>
        <v>0</v>
      </c>
      <c r="BA145" s="36">
        <f t="shared" si="279"/>
        <v>0</v>
      </c>
      <c r="BB145" s="36">
        <f t="shared" si="280"/>
        <v>0</v>
      </c>
      <c r="BC145" s="36">
        <f t="shared" si="281"/>
        <v>0</v>
      </c>
      <c r="BD145" s="36">
        <f t="shared" si="282"/>
        <v>0</v>
      </c>
      <c r="BE145" s="36">
        <f t="shared" si="283"/>
        <v>0</v>
      </c>
      <c r="BF145" s="36">
        <f t="shared" si="284"/>
        <v>0</v>
      </c>
      <c r="BG145" s="36">
        <f t="shared" si="285"/>
        <v>0</v>
      </c>
      <c r="BH145" s="149">
        <f t="shared" si="286"/>
        <v>0</v>
      </c>
    </row>
    <row r="146" spans="20:60" x14ac:dyDescent="0.25">
      <c r="AG146" s="36">
        <v>16</v>
      </c>
      <c r="AH146" s="142">
        <f t="shared" si="260"/>
        <v>32</v>
      </c>
      <c r="AI146" s="83">
        <f t="shared" si="261"/>
        <v>0</v>
      </c>
      <c r="AJ146" s="83">
        <f t="shared" si="262"/>
        <v>0</v>
      </c>
      <c r="AK146" s="83">
        <f t="shared" si="263"/>
        <v>0</v>
      </c>
      <c r="AL146" s="83">
        <f t="shared" si="264"/>
        <v>0</v>
      </c>
      <c r="AM146" s="83">
        <f t="shared" si="265"/>
        <v>0</v>
      </c>
      <c r="AN146" s="83">
        <f t="shared" si="266"/>
        <v>0</v>
      </c>
      <c r="AO146" s="83">
        <f t="shared" si="267"/>
        <v>0</v>
      </c>
      <c r="AP146" s="83">
        <f t="shared" si="268"/>
        <v>0</v>
      </c>
      <c r="AQ146" s="83">
        <f t="shared" si="269"/>
        <v>0</v>
      </c>
      <c r="AR146" s="83">
        <f t="shared" si="270"/>
        <v>0</v>
      </c>
      <c r="AS146" s="83">
        <f t="shared" si="271"/>
        <v>0</v>
      </c>
      <c r="AT146" s="83">
        <f t="shared" si="272"/>
        <v>0</v>
      </c>
      <c r="AU146" s="83">
        <f t="shared" si="273"/>
        <v>0</v>
      </c>
      <c r="AV146" s="83">
        <f t="shared" si="274"/>
        <v>0</v>
      </c>
      <c r="AW146" s="83">
        <f t="shared" si="275"/>
        <v>0</v>
      </c>
      <c r="AX146" s="83">
        <f t="shared" si="276"/>
        <v>0</v>
      </c>
      <c r="AY146" s="83">
        <f t="shared" si="277"/>
        <v>0</v>
      </c>
      <c r="AZ146" s="83">
        <f t="shared" si="278"/>
        <v>0</v>
      </c>
      <c r="BA146" s="83">
        <f t="shared" si="279"/>
        <v>0</v>
      </c>
      <c r="BB146" s="83">
        <f t="shared" si="280"/>
        <v>0</v>
      </c>
      <c r="BC146" s="83">
        <f t="shared" si="281"/>
        <v>0</v>
      </c>
      <c r="BD146" s="83">
        <f t="shared" si="282"/>
        <v>0</v>
      </c>
      <c r="BE146" s="83">
        <f t="shared" si="283"/>
        <v>0</v>
      </c>
      <c r="BF146" s="83">
        <f t="shared" si="284"/>
        <v>0</v>
      </c>
      <c r="BG146" s="83">
        <f t="shared" si="285"/>
        <v>0</v>
      </c>
      <c r="BH146" s="143">
        <f t="shared" si="286"/>
        <v>0</v>
      </c>
    </row>
    <row r="148" spans="20:60" ht="13.8" thickBot="1" x14ac:dyDescent="0.3"/>
    <row r="149" spans="20:60" ht="13.8" thickBot="1" x14ac:dyDescent="0.3">
      <c r="AG149" s="67" t="str">
        <f>'Tabulka kvalifikace'!G3</f>
        <v>Počet zápasníků</v>
      </c>
      <c r="AK149" s="125">
        <f>AE3</f>
        <v>6</v>
      </c>
      <c r="AN149" s="36">
        <f>33-AK149</f>
        <v>27</v>
      </c>
    </row>
    <row r="151" spans="20:60" x14ac:dyDescent="0.25">
      <c r="AI151" s="288" t="str">
        <f>AI50</f>
        <v>1. kolo</v>
      </c>
      <c r="AJ151" s="288"/>
      <c r="AM151" s="288" t="str">
        <f>AG108</f>
        <v>2. kolo</v>
      </c>
      <c r="AN151" s="288"/>
    </row>
    <row r="152" spans="20:60" x14ac:dyDescent="0.25">
      <c r="T152" s="188"/>
      <c r="U152" s="83"/>
      <c r="V152" s="83"/>
      <c r="W152" s="83"/>
      <c r="X152" s="188"/>
      <c r="Y152" s="83"/>
    </row>
    <row r="153" spans="20:60" x14ac:dyDescent="0.25">
      <c r="T153" s="199"/>
      <c r="U153" s="85"/>
      <c r="V153" s="85"/>
      <c r="W153" s="85"/>
      <c r="X153" s="199"/>
      <c r="Y153" s="85"/>
      <c r="AG153" s="36">
        <v>1</v>
      </c>
      <c r="AI153" s="36">
        <f>INDEX($AH$71:$BH$86,AG153,$AN$149)</f>
        <v>1</v>
      </c>
      <c r="AJ153" s="36">
        <f>INDEX($AH$91:$BH$106,AG153,$AN$149)</f>
        <v>2</v>
      </c>
      <c r="AM153" s="36">
        <f>INDEX($AH$111:$BH$126,AG153,$AN$149)</f>
        <v>3</v>
      </c>
      <c r="AN153" s="36">
        <f>INDEX($AH$131:$BH$146,AG153,$AN$149)</f>
        <v>1</v>
      </c>
    </row>
    <row r="154" spans="20:60" x14ac:dyDescent="0.25">
      <c r="AG154" s="36">
        <v>2</v>
      </c>
      <c r="AI154" s="36">
        <f t="shared" ref="AI154:AI168" si="287">INDEX($AH$71:$BH$86,AG154,$AN$149)</f>
        <v>4</v>
      </c>
      <c r="AJ154" s="36">
        <f t="shared" ref="AJ154:AJ168" si="288">INDEX($AH$91:$BH$106,AG154,$AN$149)</f>
        <v>5</v>
      </c>
      <c r="AM154" s="36">
        <f t="shared" ref="AM154:AM168" si="289">INDEX($AH$111:$BH$126,AG154,$AN$149)</f>
        <v>6</v>
      </c>
      <c r="AN154" s="36">
        <f t="shared" ref="AN154:AN168" si="290">INDEX($AH$131:$BH$146,AG154,$AN$149)</f>
        <v>4</v>
      </c>
    </row>
    <row r="155" spans="20:60" x14ac:dyDescent="0.25">
      <c r="AG155" s="36">
        <v>3</v>
      </c>
      <c r="AI155" s="36">
        <f t="shared" si="287"/>
        <v>0</v>
      </c>
      <c r="AJ155" s="36">
        <f t="shared" si="288"/>
        <v>0</v>
      </c>
      <c r="AM155" s="36">
        <f t="shared" si="289"/>
        <v>0</v>
      </c>
      <c r="AN155" s="36">
        <f t="shared" si="290"/>
        <v>0</v>
      </c>
    </row>
    <row r="156" spans="20:60" x14ac:dyDescent="0.25">
      <c r="AG156" s="36">
        <v>4</v>
      </c>
      <c r="AI156" s="36">
        <f t="shared" si="287"/>
        <v>0</v>
      </c>
      <c r="AJ156" s="36">
        <f t="shared" si="288"/>
        <v>0</v>
      </c>
      <c r="AM156" s="36">
        <f t="shared" si="289"/>
        <v>0</v>
      </c>
      <c r="AN156" s="36">
        <f t="shared" si="290"/>
        <v>0</v>
      </c>
    </row>
    <row r="157" spans="20:60" x14ac:dyDescent="0.25">
      <c r="AG157" s="36">
        <v>5</v>
      </c>
      <c r="AI157" s="36">
        <f t="shared" si="287"/>
        <v>0</v>
      </c>
      <c r="AJ157" s="36">
        <f t="shared" si="288"/>
        <v>0</v>
      </c>
      <c r="AM157" s="36">
        <f t="shared" si="289"/>
        <v>0</v>
      </c>
      <c r="AN157" s="36">
        <f t="shared" si="290"/>
        <v>0</v>
      </c>
    </row>
    <row r="158" spans="20:60" x14ac:dyDescent="0.25">
      <c r="AG158" s="36">
        <v>6</v>
      </c>
      <c r="AI158" s="36">
        <f t="shared" si="287"/>
        <v>0</v>
      </c>
      <c r="AJ158" s="36">
        <f t="shared" si="288"/>
        <v>0</v>
      </c>
      <c r="AM158" s="36">
        <f t="shared" si="289"/>
        <v>0</v>
      </c>
      <c r="AN158" s="36">
        <f t="shared" si="290"/>
        <v>0</v>
      </c>
    </row>
    <row r="159" spans="20:60" x14ac:dyDescent="0.25">
      <c r="AG159" s="36">
        <v>7</v>
      </c>
      <c r="AI159" s="36">
        <f t="shared" si="287"/>
        <v>0</v>
      </c>
      <c r="AJ159" s="36">
        <f t="shared" si="288"/>
        <v>0</v>
      </c>
      <c r="AM159" s="36">
        <f t="shared" si="289"/>
        <v>0</v>
      </c>
      <c r="AN159" s="36">
        <f t="shared" si="290"/>
        <v>0</v>
      </c>
    </row>
    <row r="160" spans="20:60" x14ac:dyDescent="0.25">
      <c r="AG160" s="36">
        <v>8</v>
      </c>
      <c r="AI160" s="36">
        <f t="shared" si="287"/>
        <v>0</v>
      </c>
      <c r="AJ160" s="36">
        <f t="shared" si="288"/>
        <v>0</v>
      </c>
      <c r="AM160" s="36">
        <f t="shared" si="289"/>
        <v>0</v>
      </c>
      <c r="AN160" s="36">
        <f t="shared" si="290"/>
        <v>0</v>
      </c>
    </row>
    <row r="161" spans="20:40" x14ac:dyDescent="0.25">
      <c r="AG161" s="36">
        <v>9</v>
      </c>
      <c r="AI161" s="36">
        <f t="shared" si="287"/>
        <v>0</v>
      </c>
      <c r="AJ161" s="36">
        <f t="shared" si="288"/>
        <v>0</v>
      </c>
      <c r="AM161" s="36">
        <f t="shared" si="289"/>
        <v>0</v>
      </c>
      <c r="AN161" s="36">
        <f t="shared" si="290"/>
        <v>0</v>
      </c>
    </row>
    <row r="162" spans="20:40" x14ac:dyDescent="0.25">
      <c r="AG162" s="36">
        <v>10</v>
      </c>
      <c r="AI162" s="36">
        <f t="shared" si="287"/>
        <v>0</v>
      </c>
      <c r="AJ162" s="36">
        <f t="shared" si="288"/>
        <v>0</v>
      </c>
      <c r="AM162" s="36">
        <f t="shared" si="289"/>
        <v>0</v>
      </c>
      <c r="AN162" s="36">
        <f t="shared" si="290"/>
        <v>0</v>
      </c>
    </row>
    <row r="163" spans="20:40" x14ac:dyDescent="0.25">
      <c r="AG163" s="36">
        <v>11</v>
      </c>
      <c r="AI163" s="36">
        <f t="shared" si="287"/>
        <v>0</v>
      </c>
      <c r="AJ163" s="36">
        <f t="shared" si="288"/>
        <v>0</v>
      </c>
      <c r="AM163" s="36">
        <f t="shared" si="289"/>
        <v>0</v>
      </c>
      <c r="AN163" s="36">
        <f t="shared" si="290"/>
        <v>0</v>
      </c>
    </row>
    <row r="164" spans="20:40" x14ac:dyDescent="0.25">
      <c r="AG164" s="36">
        <v>12</v>
      </c>
      <c r="AI164" s="36">
        <f t="shared" si="287"/>
        <v>0</v>
      </c>
      <c r="AJ164" s="36">
        <f t="shared" si="288"/>
        <v>0</v>
      </c>
      <c r="AM164" s="36">
        <f t="shared" si="289"/>
        <v>0</v>
      </c>
      <c r="AN164" s="36">
        <f t="shared" si="290"/>
        <v>0</v>
      </c>
    </row>
    <row r="165" spans="20:40" x14ac:dyDescent="0.25">
      <c r="AG165" s="36">
        <v>13</v>
      </c>
      <c r="AI165" s="36">
        <f t="shared" si="287"/>
        <v>0</v>
      </c>
      <c r="AJ165" s="36">
        <f t="shared" si="288"/>
        <v>0</v>
      </c>
      <c r="AM165" s="36">
        <f t="shared" si="289"/>
        <v>0</v>
      </c>
      <c r="AN165" s="36">
        <f t="shared" si="290"/>
        <v>0</v>
      </c>
    </row>
    <row r="166" spans="20:40" x14ac:dyDescent="0.25">
      <c r="AG166" s="36">
        <v>14</v>
      </c>
      <c r="AI166" s="36">
        <f t="shared" si="287"/>
        <v>0</v>
      </c>
      <c r="AJ166" s="36">
        <f t="shared" si="288"/>
        <v>0</v>
      </c>
      <c r="AM166" s="36">
        <f t="shared" si="289"/>
        <v>0</v>
      </c>
      <c r="AN166" s="36">
        <f t="shared" si="290"/>
        <v>0</v>
      </c>
    </row>
    <row r="167" spans="20:40" x14ac:dyDescent="0.25">
      <c r="AG167" s="36">
        <v>15</v>
      </c>
      <c r="AI167" s="36">
        <f t="shared" si="287"/>
        <v>0</v>
      </c>
      <c r="AJ167" s="36">
        <f t="shared" si="288"/>
        <v>0</v>
      </c>
      <c r="AM167" s="36">
        <f t="shared" si="289"/>
        <v>0</v>
      </c>
      <c r="AN167" s="36">
        <f t="shared" si="290"/>
        <v>0</v>
      </c>
    </row>
    <row r="168" spans="20:40" x14ac:dyDescent="0.25">
      <c r="T168" s="188"/>
      <c r="U168" s="83"/>
      <c r="V168" s="83"/>
      <c r="W168" s="83"/>
      <c r="X168" s="188"/>
      <c r="Y168" s="83"/>
      <c r="AG168" s="36">
        <v>16</v>
      </c>
      <c r="AI168" s="36">
        <f t="shared" si="287"/>
        <v>0</v>
      </c>
      <c r="AJ168" s="36">
        <f t="shared" si="288"/>
        <v>0</v>
      </c>
      <c r="AM168" s="36">
        <f t="shared" si="289"/>
        <v>0</v>
      </c>
      <c r="AN168" s="36">
        <f t="shared" si="290"/>
        <v>0</v>
      </c>
    </row>
    <row r="169" spans="20:40" x14ac:dyDescent="0.25">
      <c r="T169" s="199"/>
      <c r="U169" s="85"/>
      <c r="V169" s="85"/>
      <c r="W169" s="85"/>
      <c r="X169" s="199"/>
      <c r="Y169" s="85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topLeftCell="A15" zoomScaleSheetLayoutView="100" workbookViewId="0">
      <selection activeCell="Z15" sqref="Z15:Z16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28" width="3.33203125" customWidth="1"/>
    <col min="29" max="29" width="4.88671875" customWidth="1"/>
    <col min="30" max="30" width="4" customWidth="1"/>
    <col min="31" max="32" width="4.88671875" customWidth="1"/>
    <col min="33" max="33" width="4.6640625" customWidth="1"/>
    <col min="34" max="37" width="4.6640625" style="36" customWidth="1"/>
    <col min="38" max="38" width="2.6640625" style="36" customWidth="1"/>
    <col min="39" max="42" width="4.6640625" style="36" customWidth="1"/>
    <col min="43" max="43" width="2.6640625" style="36" customWidth="1"/>
    <col min="44" max="47" width="4.6640625" style="36" customWidth="1"/>
    <col min="48" max="48" width="2.6640625" style="36" customWidth="1"/>
    <col min="49" max="52" width="4.6640625" style="36" customWidth="1"/>
    <col min="53" max="53" width="2.6640625" style="36" customWidth="1"/>
    <col min="54" max="57" width="4.6640625" style="36" customWidth="1"/>
    <col min="58" max="58" width="4.6640625" style="36" hidden="1" customWidth="1"/>
    <col min="59" max="59" width="9.109375" hidden="1" customWidth="1"/>
    <col min="60" max="112" width="4.6640625" style="36" hidden="1" customWidth="1"/>
    <col min="113" max="113" width="4.88671875" style="36" hidden="1" customWidth="1"/>
    <col min="114" max="124" width="4.6640625" style="36" hidden="1" customWidth="1"/>
    <col min="125" max="125" width="6" style="36" hidden="1" customWidth="1"/>
    <col min="126" max="126" width="4.6640625" style="36" hidden="1" customWidth="1"/>
    <col min="127" max="127" width="4.6640625" hidden="1" customWidth="1"/>
    <col min="128" max="128" width="6.109375" style="36" hidden="1" customWidth="1"/>
    <col min="129" max="129" width="4.6640625" style="36" hidden="1" customWidth="1"/>
    <col min="130" max="130" width="5.88671875" style="36" hidden="1" customWidth="1"/>
    <col min="131" max="132" width="4.6640625" style="36" hidden="1" customWidth="1"/>
    <col min="133" max="133" width="6.33203125" style="36" hidden="1" customWidth="1"/>
    <col min="134" max="135" width="4.6640625" style="36" hidden="1" customWidth="1"/>
    <col min="136" max="136" width="6.109375" style="36" hidden="1" customWidth="1"/>
    <col min="137" max="144" width="4.6640625" style="36" hidden="1" customWidth="1"/>
    <col min="145" max="145" width="7.109375" style="36" hidden="1" customWidth="1"/>
    <col min="146" max="146" width="8.5546875" style="36" hidden="1" customWidth="1"/>
    <col min="147" max="292" width="4.6640625" style="36" hidden="1" customWidth="1"/>
    <col min="293" max="295" width="4.6640625" hidden="1" customWidth="1"/>
    <col min="296" max="337" width="4.6640625" style="36" hidden="1" customWidth="1"/>
    <col min="338" max="338" width="9.109375" style="36" hidden="1" customWidth="1"/>
    <col min="339" max="354" width="9.109375" style="36" customWidth="1"/>
    <col min="355" max="364" width="9.109375" customWidth="1"/>
  </cols>
  <sheetData>
    <row r="1" spans="1:336" ht="25.5" customHeight="1" x14ac:dyDescent="0.25">
      <c r="A1" s="389" t="str">
        <f>[1]List1!$A$11</f>
        <v>Tabulka kvalifikace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389"/>
      <c r="S1" s="389"/>
      <c r="T1" s="389"/>
      <c r="U1" s="389"/>
      <c r="V1" s="389"/>
      <c r="W1" s="389"/>
      <c r="X1" s="389"/>
      <c r="Y1" s="389"/>
      <c r="Z1" s="389"/>
      <c r="AA1" s="389"/>
      <c r="AB1" s="389"/>
      <c r="AC1" s="389"/>
      <c r="AD1" s="389"/>
      <c r="AE1" s="389"/>
      <c r="BH1" s="36" t="str">
        <f>[1]List1!$G$26</f>
        <v>dis.</v>
      </c>
    </row>
    <row r="2" spans="1:336" ht="17.399999999999999" x14ac:dyDescent="0.3">
      <c r="A2" s="366" t="str">
        <f>'Vážní listina'!A2:I2</f>
        <v>4. ročník „O ZLATÉ JABLKO “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366"/>
      <c r="Y2" s="366"/>
      <c r="Z2" s="366"/>
      <c r="AA2" s="366"/>
      <c r="AB2" s="366"/>
      <c r="AC2" s="366"/>
      <c r="BH2" s="36" t="s">
        <v>8</v>
      </c>
      <c r="BK2" s="36">
        <v>999</v>
      </c>
      <c r="BQ2" s="36" t="str">
        <f>'Vážní listina'!AE1</f>
        <v>VL</v>
      </c>
      <c r="CF2" s="36">
        <f>LARGE(CC7:CC22,CB7)</f>
        <v>3</v>
      </c>
      <c r="CK2" s="36">
        <f>LARGE(CH7:CH22,CB7)</f>
        <v>3</v>
      </c>
      <c r="DF2" s="67" t="str">
        <f>[1]List1!$O$17</f>
        <v>chyba</v>
      </c>
      <c r="FI2" s="36" t="str">
        <f>DF2</f>
        <v>chyba</v>
      </c>
      <c r="HB2" s="36">
        <v>1</v>
      </c>
      <c r="HC2" s="36">
        <f>HB2+1</f>
        <v>2</v>
      </c>
      <c r="HD2" s="36">
        <f t="shared" ref="HD2:IL2" si="0">HC2+1</f>
        <v>3</v>
      </c>
      <c r="HE2" s="36">
        <f t="shared" si="0"/>
        <v>4</v>
      </c>
      <c r="HF2" s="36">
        <f t="shared" si="0"/>
        <v>5</v>
      </c>
      <c r="HG2" s="36">
        <f t="shared" si="0"/>
        <v>6</v>
      </c>
      <c r="HH2" s="36">
        <f t="shared" si="0"/>
        <v>7</v>
      </c>
      <c r="HI2" s="36">
        <f t="shared" si="0"/>
        <v>8</v>
      </c>
      <c r="HJ2" s="36">
        <f>HI2+1</f>
        <v>9</v>
      </c>
      <c r="HK2" s="36">
        <f>HJ2+1</f>
        <v>10</v>
      </c>
      <c r="HL2" s="36">
        <f t="shared" si="0"/>
        <v>11</v>
      </c>
      <c r="HM2" s="36">
        <f t="shared" si="0"/>
        <v>12</v>
      </c>
      <c r="HN2" s="36">
        <f t="shared" si="0"/>
        <v>13</v>
      </c>
      <c r="HO2" s="36">
        <f t="shared" si="0"/>
        <v>14</v>
      </c>
      <c r="HP2" s="36">
        <f t="shared" si="0"/>
        <v>15</v>
      </c>
      <c r="HQ2" s="36">
        <f t="shared" si="0"/>
        <v>16</v>
      </c>
      <c r="HR2" s="36">
        <f t="shared" si="0"/>
        <v>17</v>
      </c>
      <c r="HS2" s="36">
        <f t="shared" si="0"/>
        <v>18</v>
      </c>
      <c r="HT2" s="36">
        <f t="shared" si="0"/>
        <v>19</v>
      </c>
      <c r="HU2" s="36">
        <f t="shared" si="0"/>
        <v>20</v>
      </c>
      <c r="HV2" s="36">
        <f t="shared" si="0"/>
        <v>21</v>
      </c>
      <c r="HW2" s="36">
        <f t="shared" si="0"/>
        <v>22</v>
      </c>
      <c r="HX2" s="36">
        <f t="shared" si="0"/>
        <v>23</v>
      </c>
      <c r="HY2" s="36">
        <f t="shared" si="0"/>
        <v>24</v>
      </c>
      <c r="HZ2" s="36">
        <f t="shared" si="0"/>
        <v>25</v>
      </c>
      <c r="IA2" s="36">
        <f t="shared" si="0"/>
        <v>26</v>
      </c>
      <c r="IB2" s="36">
        <f t="shared" si="0"/>
        <v>27</v>
      </c>
      <c r="IC2" s="36">
        <f t="shared" si="0"/>
        <v>28</v>
      </c>
      <c r="ID2" s="36">
        <f t="shared" si="0"/>
        <v>29</v>
      </c>
      <c r="IE2" s="36">
        <f>ID2+1</f>
        <v>30</v>
      </c>
      <c r="IF2" s="36">
        <f>IE2+1</f>
        <v>31</v>
      </c>
      <c r="IG2" s="36">
        <f t="shared" si="0"/>
        <v>32</v>
      </c>
      <c r="IH2" s="36">
        <f t="shared" si="0"/>
        <v>33</v>
      </c>
      <c r="II2" s="36">
        <f t="shared" si="0"/>
        <v>34</v>
      </c>
      <c r="IJ2" s="36">
        <f t="shared" si="0"/>
        <v>35</v>
      </c>
      <c r="IK2" s="36">
        <f t="shared" si="0"/>
        <v>36</v>
      </c>
      <c r="IL2" s="36">
        <f t="shared" si="0"/>
        <v>37</v>
      </c>
      <c r="IM2" s="36">
        <v>37</v>
      </c>
      <c r="IN2" s="36">
        <v>38</v>
      </c>
      <c r="IO2" s="36">
        <v>39</v>
      </c>
      <c r="IP2" s="36">
        <v>40</v>
      </c>
      <c r="IQ2" s="36">
        <v>1</v>
      </c>
      <c r="IR2" s="36">
        <v>2</v>
      </c>
      <c r="IS2" s="36">
        <v>3</v>
      </c>
      <c r="IT2" s="36">
        <v>4</v>
      </c>
      <c r="IU2" s="36">
        <v>5</v>
      </c>
      <c r="IV2" s="36">
        <v>6</v>
      </c>
      <c r="IW2" s="36">
        <v>7</v>
      </c>
      <c r="IX2" s="36">
        <v>8</v>
      </c>
      <c r="IY2" s="36">
        <v>9</v>
      </c>
      <c r="IZ2" s="36">
        <v>10</v>
      </c>
      <c r="JA2" s="36">
        <v>11</v>
      </c>
      <c r="JB2" s="36">
        <v>12</v>
      </c>
      <c r="JC2" s="36">
        <v>13</v>
      </c>
      <c r="JD2" s="36">
        <v>14</v>
      </c>
      <c r="JE2" s="36">
        <v>15</v>
      </c>
      <c r="JF2" s="36">
        <v>16</v>
      </c>
      <c r="JG2" s="36">
        <v>17</v>
      </c>
      <c r="JH2" s="36">
        <v>18</v>
      </c>
      <c r="JI2" s="36">
        <v>19</v>
      </c>
      <c r="JJ2" s="36">
        <v>20</v>
      </c>
      <c r="JK2" s="36">
        <v>21</v>
      </c>
      <c r="JL2" s="36">
        <v>22</v>
      </c>
      <c r="JM2" s="36">
        <v>23</v>
      </c>
      <c r="JN2" s="36">
        <v>24</v>
      </c>
      <c r="JO2" s="36">
        <v>25</v>
      </c>
      <c r="JP2" s="36">
        <v>26</v>
      </c>
      <c r="JQ2" s="36">
        <v>27</v>
      </c>
      <c r="JR2" s="36">
        <v>28</v>
      </c>
      <c r="JS2" s="36">
        <v>29</v>
      </c>
      <c r="JT2" s="36">
        <v>30</v>
      </c>
      <c r="JU2" s="36">
        <v>31</v>
      </c>
      <c r="JV2" s="36">
        <v>32</v>
      </c>
      <c r="JW2" s="36">
        <v>33</v>
      </c>
      <c r="JX2" s="36">
        <v>34</v>
      </c>
      <c r="JY2" s="36">
        <v>35</v>
      </c>
      <c r="JZ2" s="36">
        <v>36</v>
      </c>
      <c r="KA2" s="36">
        <v>37</v>
      </c>
      <c r="KB2" s="36">
        <v>38</v>
      </c>
      <c r="KC2" s="36">
        <v>39</v>
      </c>
      <c r="KD2" s="36">
        <v>40</v>
      </c>
      <c r="KE2" s="36">
        <v>41</v>
      </c>
      <c r="KF2" s="36">
        <v>42</v>
      </c>
      <c r="KG2" s="36">
        <v>1</v>
      </c>
      <c r="KH2" s="36">
        <v>2</v>
      </c>
      <c r="KI2" s="36">
        <v>3</v>
      </c>
      <c r="KJ2" s="36">
        <v>4</v>
      </c>
      <c r="KK2" s="36">
        <v>5</v>
      </c>
      <c r="KL2" s="36">
        <v>6</v>
      </c>
      <c r="KM2" s="36">
        <v>7</v>
      </c>
      <c r="KN2" s="36">
        <v>8</v>
      </c>
      <c r="KO2" s="36">
        <v>9</v>
      </c>
      <c r="KQ2" s="36">
        <v>10</v>
      </c>
      <c r="KR2" s="36">
        <v>11</v>
      </c>
      <c r="KS2" s="36">
        <v>12</v>
      </c>
      <c r="KT2" s="36">
        <v>13</v>
      </c>
      <c r="KU2" s="36">
        <v>14</v>
      </c>
      <c r="KV2" s="36">
        <v>15</v>
      </c>
      <c r="KW2" s="36">
        <v>16</v>
      </c>
      <c r="KX2" s="36">
        <v>17</v>
      </c>
      <c r="KY2" s="36">
        <v>18</v>
      </c>
      <c r="KZ2" s="36">
        <v>19</v>
      </c>
      <c r="LA2" s="36">
        <v>20</v>
      </c>
      <c r="LB2" s="36">
        <v>21</v>
      </c>
      <c r="LC2" s="36">
        <v>22</v>
      </c>
      <c r="LD2" s="36">
        <v>23</v>
      </c>
      <c r="LE2" s="36">
        <v>24</v>
      </c>
      <c r="LF2" s="36">
        <v>25</v>
      </c>
      <c r="LG2" s="36">
        <v>26</v>
      </c>
      <c r="LH2" s="36">
        <v>27</v>
      </c>
      <c r="LI2" s="36">
        <v>28</v>
      </c>
      <c r="LJ2" s="36">
        <v>29</v>
      </c>
      <c r="LK2" s="36">
        <v>30</v>
      </c>
      <c r="LL2" s="36">
        <v>31</v>
      </c>
      <c r="LM2" s="36">
        <v>32</v>
      </c>
      <c r="LN2" s="36">
        <v>33</v>
      </c>
      <c r="LO2" s="36">
        <v>34</v>
      </c>
      <c r="LP2" s="36">
        <v>35</v>
      </c>
      <c r="LQ2" s="36">
        <v>36</v>
      </c>
      <c r="LR2" s="36">
        <v>37</v>
      </c>
      <c r="LS2" s="36">
        <v>38</v>
      </c>
      <c r="LT2" s="36">
        <v>39</v>
      </c>
      <c r="LU2" s="36">
        <v>40</v>
      </c>
      <c r="LV2" s="36">
        <v>41</v>
      </c>
      <c r="LW2" s="36">
        <v>42</v>
      </c>
    </row>
    <row r="3" spans="1:336" x14ac:dyDescent="0.25">
      <c r="A3" s="23" t="str">
        <f>CONCATENATE([1]List1!$A$3)</f>
        <v>Místo:</v>
      </c>
      <c r="B3" s="367" t="str">
        <f>CONCATENATE('Vážní listina'!D3)</f>
        <v>Jablunkov</v>
      </c>
      <c r="C3" s="367"/>
      <c r="D3" s="367"/>
      <c r="E3" s="367"/>
      <c r="G3" s="390" t="str">
        <f>[1]List1!$C$9</f>
        <v>Počet zápasníků</v>
      </c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0"/>
      <c r="W3" s="390"/>
      <c r="X3" s="8"/>
      <c r="Y3" s="8"/>
      <c r="Z3" s="37">
        <f>'Vážní listina'!AE3</f>
        <v>6</v>
      </c>
      <c r="AA3" s="8"/>
      <c r="AH3" s="391" t="str">
        <f>[1]List1!$A$33</f>
        <v>P á r o v á n í    z á p a s n í k ů</v>
      </c>
      <c r="AI3" s="391"/>
      <c r="AJ3" s="391"/>
      <c r="AK3" s="391"/>
      <c r="AL3" s="391"/>
      <c r="AM3" s="391"/>
      <c r="AN3" s="391"/>
      <c r="AO3" s="391"/>
      <c r="AP3" s="391"/>
      <c r="AQ3" s="391"/>
      <c r="AR3" s="391"/>
      <c r="AS3" s="391"/>
      <c r="AT3" s="391"/>
      <c r="AU3" s="391"/>
      <c r="AV3" s="391"/>
      <c r="AW3" s="391"/>
      <c r="AX3" s="391"/>
      <c r="AY3" s="391"/>
      <c r="AZ3" s="391"/>
      <c r="BA3" s="391"/>
      <c r="BB3" s="391"/>
      <c r="BC3" s="391"/>
      <c r="BD3" s="391"/>
      <c r="BE3" s="391"/>
      <c r="BH3" s="36" t="s">
        <v>12</v>
      </c>
      <c r="CB3" s="53"/>
      <c r="CC3" s="53"/>
      <c r="CD3" s="288" t="str">
        <f>E6</f>
        <v>1. kolo</v>
      </c>
      <c r="CE3" s="288"/>
      <c r="CF3" s="288"/>
      <c r="CG3" s="288"/>
      <c r="CH3" s="288"/>
      <c r="CI3" s="288" t="str">
        <f>H6</f>
        <v>2. kolo</v>
      </c>
      <c r="CJ3" s="288"/>
      <c r="CK3" s="288"/>
      <c r="CL3" s="288"/>
      <c r="CM3" s="288"/>
      <c r="CV3" s="36">
        <f>SUM(CV7:CV22)</f>
        <v>3</v>
      </c>
      <c r="GB3" s="294" t="str">
        <f>[1]List1!$A$11</f>
        <v>Tabulka kvalifikace</v>
      </c>
      <c r="GC3" s="294"/>
      <c r="GD3" s="294"/>
      <c r="GE3" s="294"/>
      <c r="GF3" s="294"/>
      <c r="GG3" s="294"/>
      <c r="GH3" s="294"/>
      <c r="GI3" s="294"/>
      <c r="GJ3" s="294"/>
      <c r="GK3" s="294"/>
      <c r="GL3" s="294"/>
      <c r="GM3" s="294"/>
      <c r="GN3" s="294"/>
      <c r="GO3" s="294"/>
      <c r="GP3" s="294"/>
      <c r="GQ3" s="294"/>
      <c r="GR3" s="294"/>
      <c r="GS3" s="294"/>
      <c r="GT3" s="294"/>
      <c r="GU3" s="294"/>
      <c r="GV3" s="294"/>
      <c r="GW3" s="294"/>
      <c r="GX3" s="294"/>
      <c r="GY3" s="294"/>
      <c r="GZ3" s="294"/>
      <c r="HA3" s="294"/>
      <c r="KG3" s="36"/>
      <c r="KH3" s="36"/>
      <c r="KI3" s="36"/>
    </row>
    <row r="4" spans="1:336" ht="13.8" thickBot="1" x14ac:dyDescent="0.3">
      <c r="A4" s="23" t="str">
        <f>CONCATENATE([1]List1!$A$4)</f>
        <v>Datum:</v>
      </c>
      <c r="B4" s="8" t="str">
        <f>CONCATENATE('Vážní listina'!D4)</f>
        <v xml:space="preserve"> 27.1.2024 </v>
      </c>
      <c r="C4" s="8"/>
      <c r="E4" s="8"/>
      <c r="F4" s="8"/>
      <c r="G4" s="8" t="str">
        <f>CONCATENATE([1]List1!$A$5)</f>
        <v>Hmotnost:</v>
      </c>
      <c r="H4" s="8"/>
      <c r="I4" s="8"/>
      <c r="J4" s="367" t="str">
        <f>CONCATENATE('Vážní listina'!F4)</f>
        <v>A příp 39 kg</v>
      </c>
      <c r="K4" s="367"/>
      <c r="L4" s="367"/>
      <c r="M4" s="367"/>
      <c r="N4" s="367"/>
      <c r="O4" s="367"/>
      <c r="P4" s="367"/>
      <c r="Q4" s="2"/>
      <c r="R4" s="2"/>
      <c r="S4" s="2"/>
      <c r="T4" s="2"/>
      <c r="U4" s="2"/>
      <c r="V4" s="2"/>
      <c r="W4" s="292" t="str">
        <f>CONCATENATE([1]List1!$A$6)</f>
        <v>styl:</v>
      </c>
      <c r="X4" s="292"/>
      <c r="Y4" s="292"/>
      <c r="Z4" s="292" t="str">
        <f>CONCATENATE('Vážní listina'!I4)</f>
        <v>v.s.</v>
      </c>
      <c r="AA4" s="292"/>
      <c r="AB4" s="292"/>
      <c r="AC4" s="292"/>
      <c r="AH4" s="391"/>
      <c r="AI4" s="391"/>
      <c r="AJ4" s="391"/>
      <c r="AK4" s="391"/>
      <c r="AL4" s="391"/>
      <c r="AM4" s="391"/>
      <c r="AN4" s="391"/>
      <c r="AO4" s="391"/>
      <c r="AP4" s="391"/>
      <c r="AQ4" s="391"/>
      <c r="AR4" s="391"/>
      <c r="AS4" s="391"/>
      <c r="AT4" s="391"/>
      <c r="AU4" s="391"/>
      <c r="AV4" s="391"/>
      <c r="AW4" s="391"/>
      <c r="AX4" s="391"/>
      <c r="AY4" s="391"/>
      <c r="AZ4" s="391"/>
      <c r="BA4" s="391"/>
      <c r="BB4" s="391"/>
      <c r="BC4" s="391"/>
      <c r="BD4" s="391"/>
      <c r="BE4" s="391"/>
      <c r="CB4" s="138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288" t="str">
        <f>[1]List1!$A$14</f>
        <v>3. kolo</v>
      </c>
      <c r="CP4" s="288"/>
      <c r="CQ4" s="288"/>
      <c r="CR4" s="288"/>
      <c r="CS4" s="288"/>
      <c r="CT4" s="288"/>
      <c r="CU4" s="288"/>
      <c r="CV4" s="288"/>
      <c r="CW4" s="288"/>
      <c r="CX4" s="318"/>
      <c r="DM4" s="149"/>
      <c r="DX4" s="152"/>
      <c r="EB4" s="173"/>
      <c r="ED4" s="138"/>
      <c r="EE4" s="288" t="str">
        <f>[1]List1!$A$15</f>
        <v>4. kolo</v>
      </c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318"/>
      <c r="GB4" s="138"/>
      <c r="HC4" s="138"/>
      <c r="HV4" s="138"/>
      <c r="IH4" s="149"/>
      <c r="II4" s="138"/>
      <c r="IQ4" s="152"/>
      <c r="IR4" s="138"/>
      <c r="JJ4" s="149"/>
      <c r="JX4" s="149"/>
      <c r="JY4" s="138"/>
      <c r="KF4" s="153"/>
      <c r="KG4" s="152"/>
      <c r="KH4" s="138"/>
      <c r="KI4" s="36"/>
      <c r="LA4" s="149"/>
      <c r="LO4" s="149"/>
      <c r="LP4" s="138"/>
      <c r="LW4" s="153"/>
      <c r="LX4" s="152"/>
    </row>
    <row r="5" spans="1:336" ht="14.4" thickTop="1" thickBot="1" x14ac:dyDescent="0.3">
      <c r="A5" s="23"/>
      <c r="B5" s="8" t="str">
        <f>[1]List1!$A$36</f>
        <v>Párování kola</v>
      </c>
      <c r="C5" s="8"/>
      <c r="E5" s="8"/>
      <c r="F5" s="8"/>
      <c r="G5" s="37"/>
      <c r="H5" s="5" t="str">
        <f>IF(F89=64,"x","")</f>
        <v>x</v>
      </c>
      <c r="I5" s="37"/>
      <c r="J5" s="37" t="str">
        <f>IF(G5="x",(IF(H5="x",(IF(I89=64,"x","")),"")),"")</f>
        <v/>
      </c>
      <c r="K5" s="5" t="str">
        <f>IF(I89=64,"x","")</f>
        <v>x</v>
      </c>
      <c r="L5" s="238"/>
      <c r="M5" s="37"/>
      <c r="N5" s="5" t="str">
        <f>IF(AI7="","",(IF(K5="x",(IF(L89=64,"x","")),"")))</f>
        <v>x</v>
      </c>
      <c r="O5" s="238"/>
      <c r="P5" s="37"/>
      <c r="Q5" s="5" t="str">
        <f>IF(AN7="","",(IF(N5="x",(IF(O89=64,"x","")),"")))</f>
        <v/>
      </c>
      <c r="R5" s="238"/>
      <c r="S5" s="37"/>
      <c r="T5" s="5" t="str">
        <f>IF(AS7="","",(IF(Q5="x",(IF(R89=64,"x","")),"")))</f>
        <v/>
      </c>
      <c r="U5" s="238"/>
      <c r="V5" s="37"/>
      <c r="W5" s="5" t="str">
        <f>IF(AX7="","",(IF(T5="x",(IF(U89=64,"x","")),"")))</f>
        <v/>
      </c>
      <c r="X5" s="238"/>
      <c r="Y5" s="238"/>
      <c r="Z5" s="378"/>
      <c r="AA5" s="378"/>
      <c r="AB5" s="379"/>
      <c r="AC5" s="5" t="s">
        <v>12</v>
      </c>
      <c r="AD5" s="42"/>
      <c r="AE5" s="42"/>
      <c r="AH5" s="330" t="str">
        <f>K6</f>
        <v>3. kolo</v>
      </c>
      <c r="AI5" s="331"/>
      <c r="AJ5" s="331"/>
      <c r="AK5" s="332"/>
      <c r="AM5" s="330" t="str">
        <f>[1]List1!$A$15</f>
        <v>4. kolo</v>
      </c>
      <c r="AN5" s="331"/>
      <c r="AO5" s="331"/>
      <c r="AP5" s="332"/>
      <c r="AR5" s="330" t="str">
        <f>[1]List1!$A$16</f>
        <v>5. kolo</v>
      </c>
      <c r="AS5" s="331"/>
      <c r="AT5" s="331"/>
      <c r="AU5" s="332"/>
      <c r="AW5" s="330" t="str">
        <f>[1]List1!$B$16</f>
        <v>6. kolo</v>
      </c>
      <c r="AX5" s="331"/>
      <c r="AY5" s="331"/>
      <c r="AZ5" s="332"/>
      <c r="BB5" s="330" t="str">
        <f>[1]List1!$B$15</f>
        <v>7. kolo</v>
      </c>
      <c r="BC5" s="331"/>
      <c r="BD5" s="331"/>
      <c r="BE5" s="332"/>
      <c r="BH5" s="288" t="str">
        <f>[1]List1!$E$26</f>
        <v>počet proher</v>
      </c>
      <c r="BI5" s="288"/>
      <c r="BJ5" s="288"/>
      <c r="BK5" s="288"/>
      <c r="BL5" s="288"/>
      <c r="BM5" s="288"/>
      <c r="BN5" s="288"/>
      <c r="BO5" s="288"/>
      <c r="BP5" s="288"/>
      <c r="BW5" s="36" t="s">
        <v>19</v>
      </c>
      <c r="BY5" s="36" t="s">
        <v>17</v>
      </c>
      <c r="CB5" s="138"/>
      <c r="CC5" s="121" t="str">
        <f>CU6</f>
        <v>VL</v>
      </c>
      <c r="CF5" s="36" t="s">
        <v>29</v>
      </c>
      <c r="CK5" s="36" t="str">
        <f>CF5</f>
        <v>liché</v>
      </c>
      <c r="CO5" s="53"/>
      <c r="CP5" s="53"/>
      <c r="CQ5" s="288" t="str">
        <f>[1]List1!$C$17</f>
        <v>počet závodníků</v>
      </c>
      <c r="CR5" s="288"/>
      <c r="CS5" s="288"/>
      <c r="CT5" s="288"/>
      <c r="CU5" s="288"/>
      <c r="CX5" s="149"/>
      <c r="DF5" s="36" t="s">
        <v>16</v>
      </c>
      <c r="DM5" s="149"/>
      <c r="DX5" s="321" t="s">
        <v>20</v>
      </c>
      <c r="DY5" s="288"/>
      <c r="DZ5" s="288"/>
      <c r="EA5" s="288"/>
      <c r="EB5" s="322"/>
      <c r="ED5" s="138"/>
      <c r="EE5" s="121" t="str">
        <f>CU6</f>
        <v>VL</v>
      </c>
      <c r="ER5" s="36">
        <f>SUM(ER7:ER22)</f>
        <v>2</v>
      </c>
      <c r="ET5" s="149"/>
      <c r="EU5" s="138"/>
      <c r="FI5" s="36" t="str">
        <f>DF5</f>
        <v>index</v>
      </c>
      <c r="FN5" s="288" t="str">
        <f>DX5</f>
        <v>losování</v>
      </c>
      <c r="FO5" s="288"/>
      <c r="FP5" s="288"/>
      <c r="FQ5" s="288"/>
      <c r="FR5" s="288"/>
      <c r="GB5" s="138"/>
      <c r="GD5" s="53" t="str">
        <f>[1]List1!$C$27</f>
        <v>soupeř</v>
      </c>
      <c r="GE5" s="53"/>
      <c r="GF5" s="53"/>
      <c r="GG5" s="53"/>
      <c r="GH5" s="53"/>
      <c r="GI5" s="53"/>
      <c r="GJ5" s="53"/>
      <c r="GK5" s="53"/>
      <c r="GM5" s="36" t="str">
        <f>[1]List1!$A$28</f>
        <v>B</v>
      </c>
      <c r="GU5" s="36" t="str">
        <f>[1]List1!$A$29</f>
        <v>T</v>
      </c>
      <c r="HC5" s="138"/>
      <c r="HD5" s="288" t="str">
        <f>[1]List1!$A$16</f>
        <v>5. kolo</v>
      </c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36">
        <f>SUM(HT7:HT24)</f>
        <v>2</v>
      </c>
      <c r="HV5" s="319" t="str">
        <f>ID6</f>
        <v>chyba</v>
      </c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318"/>
      <c r="II5" s="319" t="str">
        <f>[1]List1!$C$11</f>
        <v>do tabulky</v>
      </c>
      <c r="IJ5" s="288"/>
      <c r="IK5" s="288"/>
      <c r="IL5" s="288"/>
      <c r="IM5" s="288"/>
      <c r="IN5" s="288"/>
      <c r="IO5" s="288"/>
      <c r="IP5" s="320"/>
      <c r="IQ5" s="152"/>
      <c r="IR5" s="138"/>
      <c r="IS5" s="288" t="str">
        <f>[1]List1!$B$16</f>
        <v>6. kolo</v>
      </c>
      <c r="IT5" s="288"/>
      <c r="IU5" s="288"/>
      <c r="IV5" s="288"/>
      <c r="IW5" s="288"/>
      <c r="IX5" s="288"/>
      <c r="IY5" s="288"/>
      <c r="IZ5" s="288"/>
      <c r="JA5" s="288"/>
      <c r="JB5" s="288"/>
      <c r="JC5" s="288"/>
      <c r="JD5" s="288"/>
      <c r="JE5" s="288"/>
      <c r="JF5" s="288"/>
      <c r="JG5" s="288"/>
      <c r="JI5" s="36">
        <f>SUM(JI7:JI24)</f>
        <v>2</v>
      </c>
      <c r="JJ5" s="149"/>
      <c r="JK5" s="319" t="str">
        <f>HV5</f>
        <v>chyba</v>
      </c>
      <c r="JL5" s="288"/>
      <c r="JM5" s="288"/>
      <c r="JN5" s="288"/>
      <c r="JO5" s="288"/>
      <c r="JP5" s="288"/>
      <c r="JQ5" s="288"/>
      <c r="JR5" s="288"/>
      <c r="JS5" s="288"/>
      <c r="JT5" s="288"/>
      <c r="JU5" s="288"/>
      <c r="JV5" s="288"/>
      <c r="JW5" s="288"/>
      <c r="JX5" s="318"/>
      <c r="JY5" s="319" t="str">
        <f>II5</f>
        <v>do tabulky</v>
      </c>
      <c r="JZ5" s="288"/>
      <c r="KA5" s="288"/>
      <c r="KB5" s="288"/>
      <c r="KC5" s="288"/>
      <c r="KD5" s="288"/>
      <c r="KE5" s="288"/>
      <c r="KF5" s="320"/>
      <c r="KG5" s="152"/>
      <c r="KH5" s="138"/>
      <c r="KI5" s="295" t="str">
        <f>[1]List1!$B$15</f>
        <v>7. kolo</v>
      </c>
      <c r="KJ5" s="295"/>
      <c r="KK5" s="295"/>
      <c r="KL5" s="295"/>
      <c r="KM5" s="295"/>
      <c r="KN5" s="295"/>
      <c r="KO5" s="295"/>
      <c r="KP5" s="295"/>
      <c r="KQ5" s="295"/>
      <c r="KR5" s="295"/>
      <c r="KS5" s="295"/>
      <c r="KT5" s="295"/>
      <c r="KU5" s="295"/>
      <c r="KV5" s="295"/>
      <c r="KW5" s="295"/>
      <c r="KX5" s="295"/>
      <c r="KZ5" s="36">
        <f>SUM(KZ7:KZ24)</f>
        <v>2</v>
      </c>
      <c r="LA5" s="149"/>
      <c r="LB5" s="319" t="str">
        <f>JK5</f>
        <v>chyba</v>
      </c>
      <c r="LC5" s="288"/>
      <c r="LD5" s="288"/>
      <c r="LE5" s="288"/>
      <c r="LF5" s="288"/>
      <c r="LG5" s="288"/>
      <c r="LH5" s="288"/>
      <c r="LI5" s="288"/>
      <c r="LJ5" s="288"/>
      <c r="LK5" s="288"/>
      <c r="LL5" s="288"/>
      <c r="LM5" s="288"/>
      <c r="LN5" s="288"/>
      <c r="LO5" s="318"/>
      <c r="LP5" s="319" t="str">
        <f>JY5</f>
        <v>do tabulky</v>
      </c>
      <c r="LQ5" s="288"/>
      <c r="LR5" s="288"/>
      <c r="LS5" s="288"/>
      <c r="LT5" s="288"/>
      <c r="LU5" s="288"/>
      <c r="LV5" s="288"/>
      <c r="LW5" s="320"/>
      <c r="LX5" s="152"/>
    </row>
    <row r="6" spans="1:336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340" t="str">
        <f>CONCATENATE([1]List1!$A$12)</f>
        <v>1. kolo</v>
      </c>
      <c r="F6" s="341"/>
      <c r="G6" s="342"/>
      <c r="H6" s="340" t="str">
        <f>CONCATENATE([1]List1!$A$13)</f>
        <v>2. kolo</v>
      </c>
      <c r="I6" s="341"/>
      <c r="J6" s="342"/>
      <c r="K6" s="340" t="str">
        <f>CONCATENATE([1]List1!$A$14)</f>
        <v>3. kolo</v>
      </c>
      <c r="L6" s="341"/>
      <c r="M6" s="342"/>
      <c r="N6" s="340" t="str">
        <f>CONCATENATE([1]List1!$A$15)</f>
        <v>4. kolo</v>
      </c>
      <c r="O6" s="341"/>
      <c r="P6" s="342"/>
      <c r="Q6" s="340" t="str">
        <f>CONCATENATE([1]List1!$A$16)</f>
        <v>5. kolo</v>
      </c>
      <c r="R6" s="341"/>
      <c r="S6" s="342"/>
      <c r="T6" s="340" t="str">
        <f>CONCATENATE([1]List1!$B$16)</f>
        <v>6. kolo</v>
      </c>
      <c r="U6" s="341"/>
      <c r="V6" s="342"/>
      <c r="W6" s="340" t="str">
        <f>CONCATENATE([1]List1!$B$15)</f>
        <v>7. kolo</v>
      </c>
      <c r="X6" s="341"/>
      <c r="Y6" s="342"/>
      <c r="Z6" s="347" t="str">
        <f>CONCATENATE([1]List1!$A$17)</f>
        <v>výsledky              B   T   O</v>
      </c>
      <c r="AA6" s="348"/>
      <c r="AB6" s="349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38" t="str">
        <f>IF($H$5="x",D6,"")</f>
        <v>los</v>
      </c>
      <c r="AI6" s="53" t="str">
        <f>IF($H$5="x",([1]List1!$F$15),"")</f>
        <v>soupeř</v>
      </c>
      <c r="AJ6" s="53"/>
      <c r="AK6" s="172"/>
      <c r="AL6" s="53"/>
      <c r="AM6" s="138" t="str">
        <f>IF($K$5="x",AH6,"")</f>
        <v>los</v>
      </c>
      <c r="AN6" s="53" t="str">
        <f>IF($K$5="x",AI6,"")</f>
        <v>soupeř</v>
      </c>
      <c r="AO6" s="53"/>
      <c r="AP6" s="172"/>
      <c r="AQ6" s="53"/>
      <c r="AR6" s="138" t="str">
        <f>IF($Q$5="x",AH6,"")</f>
        <v/>
      </c>
      <c r="AS6" s="53" t="str">
        <f>IF($Q$5="x",AN6,"")</f>
        <v/>
      </c>
      <c r="AT6" s="53"/>
      <c r="AU6" s="172"/>
      <c r="AV6" s="53"/>
      <c r="AW6" s="138" t="str">
        <f>IF($T$5="x",AH6,"")</f>
        <v/>
      </c>
      <c r="AX6" s="53" t="str">
        <f>IF($T$5="x",AS6,"")</f>
        <v/>
      </c>
      <c r="AY6" s="53"/>
      <c r="AZ6" s="172"/>
      <c r="BA6" s="53"/>
      <c r="BB6" s="138" t="str">
        <f>IF($T$5="x",AH6,"")</f>
        <v/>
      </c>
      <c r="BC6" s="53" t="str">
        <f>IF($T$5="x",AS6,"")</f>
        <v/>
      </c>
      <c r="BD6" s="53"/>
      <c r="BE6" s="172"/>
      <c r="BF6" s="53"/>
      <c r="BG6" s="36" t="s">
        <v>69</v>
      </c>
      <c r="BH6" s="36">
        <v>1</v>
      </c>
      <c r="BI6" s="36">
        <v>2</v>
      </c>
      <c r="BJ6" s="36">
        <v>3</v>
      </c>
      <c r="BK6" s="36">
        <v>4</v>
      </c>
      <c r="BL6" s="36">
        <v>5</v>
      </c>
      <c r="BM6" s="36">
        <v>6</v>
      </c>
      <c r="BN6" s="36">
        <v>7</v>
      </c>
      <c r="BO6" s="36" t="str">
        <f>BH1</f>
        <v>dis.</v>
      </c>
      <c r="BP6" s="36" t="s">
        <v>3</v>
      </c>
      <c r="BS6" s="36" t="str">
        <f>D6</f>
        <v>los</v>
      </c>
      <c r="BV6" s="36" t="str">
        <f>BQ2</f>
        <v>VL</v>
      </c>
      <c r="BX6" s="36">
        <f>'Vážní listina'!HF5</f>
        <v>0</v>
      </c>
      <c r="CB6" s="138"/>
      <c r="CC6" s="123">
        <f>'Vážní listina'!IY5</f>
        <v>1</v>
      </c>
      <c r="CF6" s="36">
        <f>CF2-((FLOOR(CF2/2,1))*2)</f>
        <v>1</v>
      </c>
      <c r="CK6" s="36">
        <f>CK2-((FLOOR(CK2/2,1))*2)</f>
        <v>1</v>
      </c>
      <c r="CO6" s="36">
        <f>SUM(CO7:CO22)</f>
        <v>3</v>
      </c>
      <c r="CU6" s="170" t="str">
        <f>BQ2</f>
        <v>VL</v>
      </c>
      <c r="CV6" s="171">
        <f>CV3-(FLOOR(CV3/2,1)*2)</f>
        <v>1</v>
      </c>
      <c r="CX6" s="149"/>
      <c r="DA6" s="36" t="str">
        <f>D6</f>
        <v>los</v>
      </c>
      <c r="DB6" s="36">
        <v>1</v>
      </c>
      <c r="DC6" s="36">
        <v>2</v>
      </c>
      <c r="DD6" s="36" t="str">
        <f>$BH$2</f>
        <v>xxx</v>
      </c>
      <c r="DF6" s="36" t="str">
        <f>DA6</f>
        <v>los</v>
      </c>
      <c r="DG6" s="36">
        <f>DB6</f>
        <v>1</v>
      </c>
      <c r="DH6" s="36">
        <f>DC6</f>
        <v>2</v>
      </c>
      <c r="DI6" s="36" t="str">
        <f>DA6</f>
        <v>los</v>
      </c>
      <c r="DJ6" s="36" t="str">
        <f>DD6</f>
        <v>xxx</v>
      </c>
      <c r="DL6" s="67" t="str">
        <f>$DF$2</f>
        <v>chyba</v>
      </c>
      <c r="DM6" s="149"/>
      <c r="DO6" s="36" t="str">
        <f>DA6</f>
        <v>los</v>
      </c>
      <c r="DP6" s="36" t="str">
        <f>[1]List1!$F$15</f>
        <v>soupeř</v>
      </c>
      <c r="DX6" s="152"/>
      <c r="EB6" s="173"/>
      <c r="ED6" s="138"/>
      <c r="EE6" s="123">
        <f>CV6</f>
        <v>1</v>
      </c>
      <c r="EF6" s="36">
        <f>SUM(EF7:EF22)</f>
        <v>3</v>
      </c>
      <c r="EH6" s="36" t="s">
        <v>16</v>
      </c>
      <c r="EK6" s="36" t="s">
        <v>4</v>
      </c>
      <c r="EL6" s="36" t="s">
        <v>16</v>
      </c>
      <c r="EQ6" s="170" t="str">
        <f>CU6</f>
        <v>VL</v>
      </c>
      <c r="ER6" s="171">
        <f>ER5-((FLOOR(ER5/2,1))*2)</f>
        <v>0</v>
      </c>
      <c r="ES6" s="138"/>
      <c r="ET6" s="149"/>
      <c r="EV6" s="36" t="str">
        <f>DF6</f>
        <v>los</v>
      </c>
      <c r="EW6" s="36">
        <v>1</v>
      </c>
      <c r="EX6" s="36">
        <v>2</v>
      </c>
      <c r="EY6" s="36">
        <v>3</v>
      </c>
      <c r="EZ6" s="36" t="str">
        <f>DD6</f>
        <v>xxx</v>
      </c>
      <c r="FB6" s="36" t="str">
        <f>EV6</f>
        <v>los</v>
      </c>
      <c r="FD6" s="36">
        <f>EW6</f>
        <v>1</v>
      </c>
      <c r="FE6" s="36">
        <f>EX6</f>
        <v>2</v>
      </c>
      <c r="FF6" s="36">
        <f>EY6</f>
        <v>3</v>
      </c>
      <c r="FG6" s="36" t="str">
        <f>EZ6</f>
        <v>xxx</v>
      </c>
      <c r="FI6" s="36" t="str">
        <f>FB6</f>
        <v>los</v>
      </c>
      <c r="FJ6" s="36" t="str">
        <f>DJ6</f>
        <v>xxx</v>
      </c>
      <c r="FL6" s="36" t="str">
        <f>DL6</f>
        <v>chyba</v>
      </c>
      <c r="GB6" s="138"/>
      <c r="GC6" s="36" t="str">
        <f>FI6</f>
        <v>los</v>
      </c>
      <c r="GD6" s="36">
        <v>1</v>
      </c>
      <c r="GE6" s="36">
        <v>2</v>
      </c>
      <c r="GF6" s="36">
        <v>3</v>
      </c>
      <c r="GG6" s="36">
        <v>4</v>
      </c>
      <c r="GH6" s="36">
        <v>5</v>
      </c>
      <c r="GI6" s="36">
        <v>6</v>
      </c>
      <c r="GJ6" s="36">
        <v>7</v>
      </c>
      <c r="GK6" s="36" t="str">
        <f>FJ6</f>
        <v>xxx</v>
      </c>
      <c r="GM6" s="36">
        <v>1</v>
      </c>
      <c r="GN6" s="36">
        <v>2</v>
      </c>
      <c r="GO6" s="36">
        <v>3</v>
      </c>
      <c r="GP6" s="36">
        <v>4</v>
      </c>
      <c r="GQ6" s="36">
        <v>5</v>
      </c>
      <c r="GR6" s="36">
        <v>6</v>
      </c>
      <c r="GS6" s="36">
        <v>7</v>
      </c>
      <c r="GU6" s="36">
        <v>1</v>
      </c>
      <c r="GV6" s="36">
        <v>2</v>
      </c>
      <c r="GW6" s="36">
        <v>3</v>
      </c>
      <c r="GX6" s="36">
        <v>4</v>
      </c>
      <c r="GY6" s="36">
        <v>5</v>
      </c>
      <c r="GZ6" s="36">
        <v>6</v>
      </c>
      <c r="HA6" s="153">
        <v>7</v>
      </c>
      <c r="HB6" s="152"/>
      <c r="HC6" s="138"/>
      <c r="HE6" s="36" t="str">
        <f>GC6</f>
        <v>los</v>
      </c>
      <c r="HF6" s="36">
        <v>1</v>
      </c>
      <c r="HG6" s="36">
        <v>2</v>
      </c>
      <c r="HH6" s="36">
        <v>3</v>
      </c>
      <c r="HI6" s="36">
        <v>4</v>
      </c>
      <c r="HK6" s="36" t="str">
        <f>GK6</f>
        <v>xxx</v>
      </c>
      <c r="HM6" s="36" t="s">
        <v>21</v>
      </c>
      <c r="HN6" s="36" t="s">
        <v>4</v>
      </c>
      <c r="HP6" s="36" t="str">
        <f>EE5</f>
        <v>VL</v>
      </c>
      <c r="HQ6" s="36">
        <f>ER6</f>
        <v>0</v>
      </c>
      <c r="HS6" s="170" t="str">
        <f>HP6</f>
        <v>VL</v>
      </c>
      <c r="HT6" s="171">
        <f>HT5-((FLOOR(HT5/2,1))*2)</f>
        <v>0</v>
      </c>
      <c r="HU6" s="149"/>
      <c r="HV6" s="138"/>
      <c r="HX6" s="36">
        <v>1</v>
      </c>
      <c r="HY6" s="36">
        <v>2</v>
      </c>
      <c r="HZ6" s="36">
        <v>3</v>
      </c>
      <c r="IA6" s="36">
        <v>4</v>
      </c>
      <c r="IC6" s="36" t="str">
        <f>HE6</f>
        <v>los</v>
      </c>
      <c r="ID6" s="36" t="str">
        <f>FL6</f>
        <v>chyba</v>
      </c>
      <c r="IE6" s="36" t="str">
        <f>HS6</f>
        <v>VL</v>
      </c>
      <c r="IF6" s="36" t="str">
        <f>$BH$2</f>
        <v>xxx</v>
      </c>
      <c r="IH6" s="149"/>
      <c r="II6" s="138"/>
      <c r="IL6" s="67" t="str">
        <f>$DP$6</f>
        <v>soupeř</v>
      </c>
      <c r="IM6" s="36" t="str">
        <f>IC6</f>
        <v>los</v>
      </c>
      <c r="IQ6" s="152"/>
      <c r="IR6" s="138"/>
      <c r="IT6" s="36" t="str">
        <f>HE6</f>
        <v>los</v>
      </c>
      <c r="IU6" s="36">
        <f>HF6</f>
        <v>1</v>
      </c>
      <c r="IV6" s="36">
        <f>HG6</f>
        <v>2</v>
      </c>
      <c r="IW6" s="36">
        <f>HH6</f>
        <v>3</v>
      </c>
      <c r="IX6" s="36">
        <f>HI6</f>
        <v>4</v>
      </c>
      <c r="IY6" s="36">
        <v>5</v>
      </c>
      <c r="IZ6" s="36" t="str">
        <f>HK6</f>
        <v>xxx</v>
      </c>
      <c r="JB6" s="36" t="str">
        <f>HM6</f>
        <v>sen.</v>
      </c>
      <c r="JC6" s="36" t="str">
        <f>HN6</f>
        <v>small</v>
      </c>
      <c r="JE6" s="36" t="str">
        <f>HP6</f>
        <v>VL</v>
      </c>
      <c r="JF6" s="36">
        <f>HT6</f>
        <v>0</v>
      </c>
      <c r="JH6" s="170" t="str">
        <f>HS6</f>
        <v>VL</v>
      </c>
      <c r="JI6" s="171">
        <f>JI5-((FLOOR(JI5/2,1))*2)</f>
        <v>0</v>
      </c>
      <c r="JJ6" s="149"/>
      <c r="JM6" s="36">
        <v>1</v>
      </c>
      <c r="JN6" s="36">
        <v>2</v>
      </c>
      <c r="JO6" s="36">
        <v>3</v>
      </c>
      <c r="JP6" s="36">
        <v>4</v>
      </c>
      <c r="JQ6" s="36">
        <v>5</v>
      </c>
      <c r="JR6" s="36">
        <v>6</v>
      </c>
      <c r="JS6" s="36" t="str">
        <f>IC6</f>
        <v>los</v>
      </c>
      <c r="JT6" s="36" t="str">
        <f>ID6</f>
        <v>chyba</v>
      </c>
      <c r="JU6" s="36" t="str">
        <f>IE6</f>
        <v>VL</v>
      </c>
      <c r="JV6" s="36" t="str">
        <f>IF6</f>
        <v>xxx</v>
      </c>
      <c r="JX6" s="149"/>
      <c r="JY6" s="138"/>
      <c r="KB6" s="67" t="str">
        <f>IL6</f>
        <v>soupeř</v>
      </c>
      <c r="KC6" s="36" t="str">
        <f>IM6</f>
        <v>los</v>
      </c>
      <c r="KF6" s="153"/>
      <c r="KG6" s="175"/>
      <c r="KH6" s="187"/>
      <c r="KI6" s="188"/>
      <c r="KJ6" s="83" t="str">
        <f t="shared" ref="KJ6:KO6" si="1">IT6</f>
        <v>los</v>
      </c>
      <c r="KK6" s="83">
        <f t="shared" si="1"/>
        <v>1</v>
      </c>
      <c r="KL6" s="83">
        <f t="shared" si="1"/>
        <v>2</v>
      </c>
      <c r="KM6" s="83">
        <f t="shared" si="1"/>
        <v>3</v>
      </c>
      <c r="KN6" s="83">
        <f t="shared" si="1"/>
        <v>4</v>
      </c>
      <c r="KO6" s="83">
        <f t="shared" si="1"/>
        <v>5</v>
      </c>
      <c r="KP6" s="83">
        <v>6</v>
      </c>
      <c r="KQ6" s="83" t="str">
        <f>IZ6</f>
        <v>xxx</v>
      </c>
      <c r="KR6" s="83"/>
      <c r="KS6" s="83" t="str">
        <f>JB6</f>
        <v>sen.</v>
      </c>
      <c r="KT6" s="83" t="str">
        <f>JC6</f>
        <v>small</v>
      </c>
      <c r="KU6" s="83"/>
      <c r="KV6" s="83" t="str">
        <f>JE6</f>
        <v>VL</v>
      </c>
      <c r="KW6" s="83">
        <f>JI6</f>
        <v>0</v>
      </c>
      <c r="KX6" s="83"/>
      <c r="KY6" s="170" t="str">
        <f>JH6</f>
        <v>VL</v>
      </c>
      <c r="KZ6" s="171">
        <f>KZ5-((FLOOR(KZ5/2,1))*2)</f>
        <v>0</v>
      </c>
      <c r="LA6" s="143"/>
      <c r="LB6" s="83"/>
      <c r="LC6" s="83"/>
      <c r="LD6" s="83">
        <f t="shared" ref="LD6:LM6" si="2">JM6</f>
        <v>1</v>
      </c>
      <c r="LE6" s="83">
        <f t="shared" si="2"/>
        <v>2</v>
      </c>
      <c r="LF6" s="83">
        <f t="shared" si="2"/>
        <v>3</v>
      </c>
      <c r="LG6" s="83">
        <f t="shared" si="2"/>
        <v>4</v>
      </c>
      <c r="LH6" s="83">
        <f t="shared" si="2"/>
        <v>5</v>
      </c>
      <c r="LI6" s="83">
        <f t="shared" si="2"/>
        <v>6</v>
      </c>
      <c r="LJ6" s="83" t="str">
        <f t="shared" si="2"/>
        <v>los</v>
      </c>
      <c r="LK6" s="83" t="str">
        <f t="shared" si="2"/>
        <v>chyba</v>
      </c>
      <c r="LL6" s="83" t="str">
        <f t="shared" si="2"/>
        <v>VL</v>
      </c>
      <c r="LM6" s="83" t="str">
        <f t="shared" si="2"/>
        <v>xxx</v>
      </c>
      <c r="LN6" s="83"/>
      <c r="LO6" s="143"/>
      <c r="LP6" s="142"/>
      <c r="LQ6" s="83"/>
      <c r="LR6" s="83"/>
      <c r="LS6" s="82" t="str">
        <f>KB6</f>
        <v>soupeř</v>
      </c>
      <c r="LT6" s="83" t="str">
        <f>KC6</f>
        <v>los</v>
      </c>
      <c r="LU6" s="83"/>
      <c r="LV6" s="83"/>
      <c r="LW6" s="181"/>
      <c r="LX6" s="152"/>
    </row>
    <row r="7" spans="1:336" ht="14.25" customHeight="1" thickTop="1" thickBot="1" x14ac:dyDescent="0.3">
      <c r="A7" s="368" t="str">
        <f>'Vážní listina'!HQ7</f>
        <v>Bělohoubek Daniel</v>
      </c>
      <c r="B7" s="369" t="str">
        <f>'Vážní listina'!HR7</f>
        <v>Tichá</v>
      </c>
      <c r="C7" s="372" t="str">
        <f>IF(BP7="","",(IF(BP7&gt;1,$BH$2,"")))</f>
        <v/>
      </c>
      <c r="D7" s="370">
        <f>'Vážní listina'!HK7</f>
        <v>1</v>
      </c>
      <c r="E7" s="371">
        <f>'Vážní listina'!HL7</f>
        <v>2</v>
      </c>
      <c r="F7" s="24">
        <v>5</v>
      </c>
      <c r="G7" s="25"/>
      <c r="H7" s="345">
        <f>IF(H5="","",('Vážní listina'!HM7))</f>
        <v>3</v>
      </c>
      <c r="I7" s="24">
        <v>0</v>
      </c>
      <c r="J7" s="25"/>
      <c r="K7" s="345" t="str">
        <f>IF(K5="","",DV7)</f>
        <v>VL</v>
      </c>
      <c r="L7" s="24"/>
      <c r="M7" s="25"/>
      <c r="N7" s="345" t="str">
        <f>IF(N5="","",FZ7)</f>
        <v/>
      </c>
      <c r="O7" s="24"/>
      <c r="P7" s="25"/>
      <c r="Q7" s="345" t="str">
        <f>IF(Q5="","",IP7)</f>
        <v/>
      </c>
      <c r="R7" s="24"/>
      <c r="S7" s="25"/>
      <c r="T7" s="345" t="str">
        <f>IF(T5="","",KF7)</f>
        <v/>
      </c>
      <c r="U7" s="24"/>
      <c r="V7" s="25"/>
      <c r="W7" s="350" t="str">
        <f>IF(W9="","",(IF(W5="","",LW7)))</f>
        <v/>
      </c>
      <c r="X7" s="24"/>
      <c r="Y7" s="25"/>
      <c r="Z7" s="358">
        <f>IF(A7="","",(F7+I7+L7+O7+R7+U7+X7))</f>
        <v>5</v>
      </c>
      <c r="AA7" s="385">
        <f>IF(A7="","",(F8+I8+L8+O8+R8+U8+X8))</f>
        <v>2</v>
      </c>
      <c r="AB7" s="386">
        <f>IF(A7="","",(G7+J7+M7+P7+S7+V7+Y7))</f>
        <v>0</v>
      </c>
      <c r="AC7" s="387" t="str">
        <f>(HF80)</f>
        <v>F</v>
      </c>
      <c r="AD7" s="326"/>
      <c r="AE7" s="388">
        <f>IF(D7="","",(IF('Tabulka finále'!$BK$47=1,(IF('Tabulka finále'!$K$56="","",(IF($AC$5="","",(IF($H$5="","",(FW118))))))),"")))</f>
        <v>3</v>
      </c>
      <c r="AG7" s="251">
        <v>1</v>
      </c>
      <c r="AH7" s="138">
        <f>IF($K$5="","",(IF($H$5="x",CU7,"")))</f>
        <v>2</v>
      </c>
      <c r="AI7" s="176">
        <v>3</v>
      </c>
      <c r="AJ7" s="36">
        <f>IF($K$5="","",(IF(EB7="",(IF(AH7="","",(IF(CX7=$BQ$2,$BQ$2,IF((AI7)="","",AI7))))),EB7)))</f>
        <v>3</v>
      </c>
      <c r="AK7" s="149" t="str">
        <f>IF($K$5="","",(IF($H$5="","",(DM7))))</f>
        <v/>
      </c>
      <c r="AM7" s="138">
        <f>IF($N$5="x",EQ7,"")</f>
        <v>1</v>
      </c>
      <c r="AN7" s="176"/>
      <c r="AO7" s="36" t="str">
        <f t="shared" ref="AO7:AO22" si="3">IF($N$5="","",(IF(FR7="",(IF(AM7="","",(IF(FO7=$BQ$2,$BQ$2,IF((AN7)="","",AN7))))),FR7)))</f>
        <v/>
      </c>
      <c r="AP7" s="149" t="str">
        <f>IF($N$5="","",(FM7))</f>
        <v/>
      </c>
      <c r="AR7" s="138" t="str">
        <f>IF($Q$5="x",HS7,"")</f>
        <v/>
      </c>
      <c r="AS7" s="176"/>
      <c r="AT7" s="36" t="str">
        <f>IF($Q$5="","",(IL7))</f>
        <v/>
      </c>
      <c r="AU7" s="149" t="str">
        <f>IF($Q$5="","",(IH7))</f>
        <v/>
      </c>
      <c r="AW7" s="138" t="str">
        <f t="shared" ref="AW7:AW17" si="4">IF($T$5="x",JH7,"")</f>
        <v/>
      </c>
      <c r="AX7" s="176"/>
      <c r="AY7" s="36" t="str">
        <f>IF($T$5="","",(KB7))</f>
        <v/>
      </c>
      <c r="AZ7" s="149" t="str">
        <f>IF($T$5="","",(JX7))</f>
        <v/>
      </c>
      <c r="BB7" s="138" t="str">
        <f>IF(BB8="","",(IF($W$5="x",KY7,"")))</f>
        <v/>
      </c>
      <c r="BC7" s="176"/>
      <c r="BD7" s="36" t="str">
        <f>IF(BB7="","",(IF($W$5="","",(LS7))))</f>
        <v/>
      </c>
      <c r="BE7" s="149" t="str">
        <f>IF($W$5="","",(LO7))</f>
        <v/>
      </c>
      <c r="BG7" s="36">
        <f>IF(A7="",0,1)</f>
        <v>1</v>
      </c>
      <c r="BH7" s="36">
        <f>(IF(E7="","",(IF(E7=$BQ$2,0,(IF(A7="","",(IF(F7="","",(IF(F7&lt;2,1,0))))))))))</f>
        <v>0</v>
      </c>
      <c r="BI7" s="36">
        <f>IF(H7=$BQ$2,0,(IF(A7="","",(IF(I7="","",(IF(I7&lt;2,1,0)))))))</f>
        <v>1</v>
      </c>
      <c r="BJ7" s="36" t="str">
        <f>IF(L7="","",(IF(L7&lt;2,1,0)))</f>
        <v/>
      </c>
      <c r="BK7" s="36" t="str">
        <f>IF(O7="","",(IF(O7&lt;2,1,0)))</f>
        <v/>
      </c>
      <c r="BL7" s="36" t="str">
        <f>IF(R7="","",(IF(R7&lt;2,1,0)))</f>
        <v/>
      </c>
      <c r="BM7" s="36" t="str">
        <f>IF(U7="","",(IF(U7&lt;2,1,0)))</f>
        <v/>
      </c>
      <c r="BN7" s="36" t="str">
        <f>IF(X7="","",(IF(X7&lt;2,1,0)))</f>
        <v/>
      </c>
      <c r="BP7" s="36">
        <f>IF(BG7=0,"",(SUM(BH7:BN7)))</f>
        <v>1</v>
      </c>
      <c r="BR7" s="36">
        <f>BP7</f>
        <v>1</v>
      </c>
      <c r="BS7" s="36">
        <f>D7</f>
        <v>1</v>
      </c>
      <c r="BT7" s="36" t="str">
        <f>IF(SUM($BH7,$BI7)=2,$BH$2,"")</f>
        <v/>
      </c>
      <c r="BV7" s="36">
        <f t="shared" ref="BV7:BV38" si="5">IF(BH7="",$BK$2,(IF(C7=$BH$2,$BK$2,D7)))</f>
        <v>1</v>
      </c>
      <c r="BW7" s="36">
        <f>IF(BH7="",$BK$2,(IF(C7=$BH$2,$BK$2,BP7)))</f>
        <v>1</v>
      </c>
      <c r="BX7" s="36">
        <v>1</v>
      </c>
      <c r="BY7" s="36">
        <f>SMALL($BV$7:$BV$38,BX7)</f>
        <v>1</v>
      </c>
      <c r="CB7" s="121">
        <v>1</v>
      </c>
      <c r="CC7" s="36">
        <f>IF(D7="",0,D7)</f>
        <v>1</v>
      </c>
      <c r="CD7" s="36">
        <f>IF(CC7=0,0,1)</f>
        <v>1</v>
      </c>
      <c r="CE7" s="36">
        <f>IF(CD7=CD8,0,1)*$CF$6</f>
        <v>0</v>
      </c>
      <c r="CF7" s="36">
        <f>IF((CE7*CF6)=1,CC7,IF((CE8*CF6)=1,CC8,IF((CE9*CF6)=1,CC9,IF((CE10*CF6)=1,CC10,IF((CE11*CF6)=1,CC11,IF((CE12*CF6)=1,CC12,IF((CE13*CF6)=1,CC13,IF((CE14*CF6)=1,CC14,0))))))))</f>
        <v>3</v>
      </c>
      <c r="CG7" s="36">
        <f>IF((CE15*CF6)=1,CC15,IF((CE16*CF6)=1,CC16,IF((CE17*CF6)=1,CC17,IF((CE18*CF6)=1,CC18,IF((CE19*CF6)=1,CC19,IF((CE20*CF6)=1,CC20,IF((CE21*CF6)=1,CC21,IF((CE22*CF22)=1,CC14,0))))))))</f>
        <v>0</v>
      </c>
      <c r="CH7" s="36">
        <f>IF(CD7*CE7=1,0,(IF(CD7=1,(IF(CF6=1,CF7+CG7,CC7)),0)))</f>
        <v>3</v>
      </c>
      <c r="CI7" s="36">
        <f>IF(CH7=0,0,1)</f>
        <v>1</v>
      </c>
      <c r="CJ7" s="36">
        <f>IF(CI7=CI8,0,1)*$CK$6</f>
        <v>0</v>
      </c>
      <c r="CK7" s="36">
        <f>IF((CJ7*CK6)=1,CH7,IF((CJ8*CK6)=1,CH8,IF((CJ9*CK6)=1,CH9,IF((CJ10*CK6)=1,CH10,IF((CJ11*CK6)=1,CH11,IF((CJ12*CK6)=1,CH12,IF((CJ13*CK6)=1,CH13,IF((CJ14*CK6)=1,CH14,0))))))))</f>
        <v>2</v>
      </c>
      <c r="CL7" s="36">
        <f>IF((CJ15*CK6)=1,CH15,IF((CJ16*CK6)=1,CH16,IF((CJ17*CK6)=1,CH17,IF((CJ18*CK6)=1,CH18,IF((CJ19*CK6)=1,CH19,IF((CJ20*CK6)=1,CH20,IF((CJ21*CK6)=1,CH21,IF((CJ22*CK22)=1,CH14,0))))))))</f>
        <v>0</v>
      </c>
      <c r="CM7" s="36">
        <f>IF(CI7*CJ7=1,0,(IF(CI7=1,(IF(CK6=1,CK7+CL7,CH7)),0)))</f>
        <v>2</v>
      </c>
      <c r="CO7" s="36">
        <f>IF(CC7=0,0,1)</f>
        <v>1</v>
      </c>
      <c r="CP7" s="36" t="str">
        <f>IF(CM7=0,"",(INDEX($BT$7:$BT$22,CM7)))</f>
        <v/>
      </c>
      <c r="CQ7" s="36">
        <f>IF(CM7=0,$BK$2,CM7)</f>
        <v>2</v>
      </c>
      <c r="CR7" s="36">
        <f>IF(CP7="",CB7,$BK$2)</f>
        <v>1</v>
      </c>
      <c r="CS7" s="36">
        <f>SMALL($CR$7:$CR$22,CB7)</f>
        <v>1</v>
      </c>
      <c r="CT7" s="36">
        <f>IF(CS7=$BK$2,"",(INDEX($CQ$7:$CQ$22,CS7)))</f>
        <v>2</v>
      </c>
      <c r="CU7" s="36">
        <f>IF(CT7=$BK$2,"",CT7)</f>
        <v>2</v>
      </c>
      <c r="CV7" s="36">
        <f>IF(CU7="",0,1)</f>
        <v>1</v>
      </c>
      <c r="CW7" s="36">
        <f>IF(CV7=CV8,0,1)*$CV$6</f>
        <v>0</v>
      </c>
      <c r="CX7" s="149">
        <f>IF(CW7=0,CU7,$BQ$2)</f>
        <v>2</v>
      </c>
      <c r="DA7" s="36">
        <f>D7</f>
        <v>1</v>
      </c>
      <c r="DB7" s="36">
        <f>E7</f>
        <v>2</v>
      </c>
      <c r="DC7" s="36">
        <f>H7</f>
        <v>3</v>
      </c>
      <c r="DD7" s="36" t="str">
        <f>IF((C7)="","",C7)</f>
        <v/>
      </c>
      <c r="DF7" s="36">
        <f>IF((ISNUMBER(AH7)),(INDEX($DA$7:$DA$22,AH7)),"")</f>
        <v>2</v>
      </c>
      <c r="DG7" s="36">
        <f>IF((ISNUMBER(AH7)),(INDEX($DB$7:$DB$22,AH7)),"")</f>
        <v>1</v>
      </c>
      <c r="DH7" s="36" t="str">
        <f>IF((ISNUMBER(AH7)),(INDEX($DC$7:$DC$22,AH7)),"")</f>
        <v>VL</v>
      </c>
      <c r="DI7" s="36" t="str">
        <f t="shared" ref="DI7:DI22" si="6">IF(DF7="","",(IF(AI7=DF7,$DF$6,"")))</f>
        <v/>
      </c>
      <c r="DJ7" s="36" t="str">
        <f>IF((ISNUMBER(AI7)),(INDEX($BT$7:$BT$22,AI7)),"")</f>
        <v/>
      </c>
      <c r="DK7" s="36" t="str">
        <f>IF((ISNUMBER(AI7)),(INDEX($DD$7:$DD$22,AI7)),"")</f>
        <v>xxx</v>
      </c>
      <c r="DL7" s="36" t="str">
        <f t="shared" ref="DL7:DL22" si="7">IF(DF7="","",(IF(AI7=DG7,$DF$2,IF(AI7=DH7,$DF$2,""))))</f>
        <v/>
      </c>
      <c r="DM7" s="149" t="str">
        <f>IF(DI7="",(IF(DJ7="",IF(DL7="","",$DL$6),$DJ$6)),$DI$6)</f>
        <v/>
      </c>
      <c r="DN7" s="36">
        <f>DA7</f>
        <v>1</v>
      </c>
      <c r="DO7" s="36">
        <f>AH7</f>
        <v>2</v>
      </c>
      <c r="DP7" s="36">
        <f>AJ7</f>
        <v>3</v>
      </c>
      <c r="DR7" s="36" t="str">
        <f>IF(DN7=$DO$7,$DP$7,IF(DN7=$DO$8,$DP$8,IF(DN7=$DO$9,$DP$9,IF(DN7=$DO$10,$DP$10,IF(DN7=$DO$11,$DP$11,IF(DN7=$DO$12,$DP$12,IF(DN7=$DO$13,$DP$13,IF(DN7=$DO$14,$DP$14,""))))))))</f>
        <v>VL</v>
      </c>
      <c r="DS7" s="36" t="str">
        <f>IF(DN7=$DO$15,$DP$15,IF(DN7=$DO$16,$DP$16,IF(DN7=$DO$17,$DP$17,IF(DN7=$DO$18,$DP$18,IF(DN7=$DO$19,$DP$19,IF(DN7=$DO$20,$DP$20,IF(DN7=$DO$21,$DP$21,IF(DN7=$DO$22,$DP$22,""))))))))</f>
        <v/>
      </c>
      <c r="DT7" s="36" t="str">
        <f>IF(DR7="",DS7,DR7)</f>
        <v>VL</v>
      </c>
      <c r="DV7" s="36" t="str">
        <f>DT7</f>
        <v>VL</v>
      </c>
      <c r="DX7" s="152">
        <f>AH7</f>
        <v>2</v>
      </c>
      <c r="DY7" s="36">
        <f>IF(AI7="","",AI7)</f>
        <v>3</v>
      </c>
      <c r="DZ7" s="36">
        <f>IF(DX7="","",(IF(DY7="",(IF(DX7=$DY$7,$DX$7,IF(DX7=$DY$8,$DX$8,IF(DX7=$DY$9,$DX$9,IF(DX7=$DY$10,$DX$10,IF(DX7=$DY$11,$DX$11,IF(DX7=$DY$12,$DX$12,IF(DX7=$DY$13,$DX$13,IF(DX7=$DY$14,$DX$14,""))))))))),DY7)))</f>
        <v>3</v>
      </c>
      <c r="EA7" s="36" t="str">
        <f>IF(DX7="","",(IF(DX7=$DY$15,$DX$15,IF(DX7=$DY$16,$DX$16,IF(DX7=$DY$17,$DX$17,IF(DX7=$DY$18,$DX$18,IF(DX7=$DY$19,$DX$19,IF(DX7=$DY$20,$DX$20,IF(DX7=$DY$21,$DX$21,IF(DX7=$DY$22,$DX$22,""))))))))))</f>
        <v/>
      </c>
      <c r="EB7" s="173">
        <f>IF(DZ7="",EA7,DZ7)</f>
        <v>3</v>
      </c>
      <c r="ED7" s="121">
        <v>1</v>
      </c>
      <c r="EE7" s="36">
        <f>CU7</f>
        <v>2</v>
      </c>
      <c r="EF7" s="36">
        <f>IF(EE7="",0,1)</f>
        <v>1</v>
      </c>
      <c r="EG7" s="36" t="str">
        <f>IF(SUM($BH7:$BJ7)=2,$BH$2,"")</f>
        <v/>
      </c>
      <c r="EH7" s="36" t="str">
        <f>IF(EE7="","",(INDEX($EG$7:$EG$22,EE7)))</f>
        <v>xxx</v>
      </c>
      <c r="EJ7" s="36">
        <f>IF(EE7="",$BK$2,(IF(EH7=$BH$2,$BK$2,ED7)))</f>
        <v>999</v>
      </c>
      <c r="EK7" s="36">
        <f>SMALL($EJ$7:$EJ$22,ED7)</f>
        <v>2</v>
      </c>
      <c r="EL7" s="36">
        <f>IF(EK7=$BK$2,"",(INDEX($EE$7:$EE$22,EK7)))</f>
        <v>3</v>
      </c>
      <c r="EM7" s="36">
        <f>IF(EK7=EK8,1,0)</f>
        <v>0</v>
      </c>
      <c r="EN7" s="36">
        <f>IF(EM7=EM8,0,1)</f>
        <v>0</v>
      </c>
      <c r="EO7" s="36">
        <f>IF(EL7="","",(IF(($EN$7*$CV$6)=1,$EL$7,IF(($EN$8*$CV$6)=1,$EL$8,IF(($EN$9*$CV$6)=1,$EL$9,IF(($EN$10*$CV$6)=1,$EL$10,IF(($EN$11*$CV$6)=1,$EL$11,IF(($EN$12*$CV$6)=1,$EL$12,IF(($EN$13*$CV$6)=1,$EL$13,IF(($EN$14*$CV$6)=1,$EL$14,""))))))))))</f>
        <v>1</v>
      </c>
      <c r="EP7" s="36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36">
        <f>IF(EL7="","",(IF($CV$6=0,EL7,(SUM(EO7:EP7)))))</f>
        <v>1</v>
      </c>
      <c r="ER7" s="36">
        <f>IF(EQ7="",0,1)</f>
        <v>1</v>
      </c>
      <c r="ES7" s="36">
        <f>IF(ER7=ER8,0,1)</f>
        <v>0</v>
      </c>
      <c r="ET7" s="149" t="str">
        <f>IF((ES7*$ER$6)=1,$EQ$6,"")</f>
        <v/>
      </c>
      <c r="EV7" s="36">
        <f>D7</f>
        <v>1</v>
      </c>
      <c r="EW7" s="36">
        <f>E7</f>
        <v>2</v>
      </c>
      <c r="EX7" s="36">
        <f>H7</f>
        <v>3</v>
      </c>
      <c r="EY7" s="36" t="str">
        <f>K7</f>
        <v>VL</v>
      </c>
      <c r="EZ7" s="36" t="str">
        <f>EG7</f>
        <v/>
      </c>
      <c r="FB7" s="36">
        <f>EQ7</f>
        <v>1</v>
      </c>
      <c r="FC7" s="36" t="str">
        <f>IF(AN7="","",AN7)</f>
        <v/>
      </c>
      <c r="FD7" s="36">
        <f>IF(FB7="","",(INDEX($EW$7:$EW$22,FB7)))</f>
        <v>2</v>
      </c>
      <c r="FE7" s="36">
        <f>IF(FB7="","",(INDEX($EX$7:$EX$22,FB7)))</f>
        <v>3</v>
      </c>
      <c r="FF7" s="36" t="str">
        <f>IF(FB7="","",(INDEX($EY$7:$EY$22,FB7)))</f>
        <v>VL</v>
      </c>
      <c r="FG7" s="36" t="str">
        <f>IF(FB7="","",(INDEX($EZ$7:$EZ$22,FB7)))</f>
        <v/>
      </c>
      <c r="FI7" s="36" t="str">
        <f>IF(FB7="","",(IF(FB7=FC7,$FI$6,"")))</f>
        <v/>
      </c>
      <c r="FJ7" s="36" t="str">
        <f>IF((ISNUMBER(AN7)),(INDEX($EZ$7:$EZ$22,AN7)),"")</f>
        <v/>
      </c>
      <c r="FL7" s="36" t="str">
        <f>IF(FC7="","",(IF(FB7="","",(IF(FC7=FD7,$DF$2,IF(FC7=FE7,$DF$2,IF(FC7=FF7,$DF$2,"")))))))</f>
        <v/>
      </c>
      <c r="FM7" s="36" t="str">
        <f>CONCATENATE(FI7,FJ7,FK7,FL7)</f>
        <v/>
      </c>
      <c r="FN7" s="36">
        <f>AM7</f>
        <v>1</v>
      </c>
      <c r="FO7" s="36" t="str">
        <f>IF(AN7="","",AN7)</f>
        <v/>
      </c>
      <c r="FP7" s="36" t="str">
        <f>IF(FN7="","",(IF(FO7="",(IF(FN7=$FO$7,$FN$7,IF(FN7=$FO$8,$FN$8,IF(FN7=$FO$9,$FN$9,IF(FN7=$FO$10,$FN$10,IF(FN7=$FO$11,$FN$11,IF(FN7=$FO$12,$FN$12,IF(FN7=$FO$13,$FN$13,IF(FN7=$FO$14,$FN$14,""))))))))),FO7)))</f>
        <v/>
      </c>
      <c r="FQ7" s="36" t="str">
        <f>IF(FN7="","",(IF(FN7=$FO$15,$FN$15,IF(FN7=$FO$16,$FN$16,IF(FN7=$FO$17,$FN$17,IF(FN7=$FO$18,$FN$18,IF(FN7=$FO$19,$FN$19,IF(FN7=$FO$20,$FN$20,IF(FN7=$FO$21,$FN$21,IF(FN7=$FO$22,$FN$22,""))))))))))</f>
        <v/>
      </c>
      <c r="FR7" s="173" t="str">
        <f t="shared" ref="FR7:FR22" si="8">IF(ET7="",(IF(FP7="",FQ7,FP7)),ET7)</f>
        <v/>
      </c>
      <c r="FT7" s="36">
        <v>1</v>
      </c>
      <c r="FV7" s="36" t="str">
        <f>IF(FT7=$FN$7,$FR$7,IF(FT7=$FN$8,$FR$8,IF(FT7=$FN$9,$FR$9,IF(FT7=$FN$10,$FR$10,IF(FT7=$FN$11,$FR$11,IF(FT7=$FN$12,$FR$12,IF(FT7=$FN$13,$FR$13,IF(FT7=$FN$14,$FR$14,""))))))))</f>
        <v/>
      </c>
      <c r="FW7" s="36" t="str">
        <f>IF(FT7=$FN$15,$FR$15,IF(FT7=$FN$16,$FR$16,IF(FT7=$FN$17,$FR$17,IF(FT7=$FN$18,$FR$18,IF(FT7=$FN$19,$FR$19,IF(FT7=$FN$20,$FR$20,IF(FT7=$FN$21,$FR$21,IF(FT7=$FN$22,$FR$22,""))))))))</f>
        <v/>
      </c>
      <c r="FX7" s="36" t="str">
        <f>IF((CONCATENATE(FW7,FV7))="","",(IF((CONCATENATE(FW7,FV7))=$BQ$2,$BQ$2,VALUE(CONCATENATE(FW7,FV7)))))</f>
        <v/>
      </c>
      <c r="FZ7" s="36" t="str">
        <f>FX7</f>
        <v/>
      </c>
      <c r="GA7" s="152"/>
      <c r="GB7" s="121">
        <v>1</v>
      </c>
      <c r="GC7" s="36">
        <f>IF(D7="","",D7)</f>
        <v>1</v>
      </c>
      <c r="GD7" s="36">
        <f>IF(E7="","",E7)</f>
        <v>2</v>
      </c>
      <c r="GE7" s="36">
        <f>IF(H7="","",H7)</f>
        <v>3</v>
      </c>
      <c r="GF7" s="36" t="str">
        <f>IF(K7="","",K7)</f>
        <v>VL</v>
      </c>
      <c r="GG7" s="36" t="str">
        <f>IF(N7="","",N7)</f>
        <v/>
      </c>
      <c r="GH7" s="36" t="str">
        <f>IF(Q7="","",Q7)</f>
        <v/>
      </c>
      <c r="GI7" s="36" t="str">
        <f>IF(T7="","",T7)</f>
        <v/>
      </c>
      <c r="GJ7" s="36" t="str">
        <f>IF(W7="","",W7)</f>
        <v/>
      </c>
      <c r="GK7" s="36" t="str">
        <f>IF(C7="","",C7)</f>
        <v/>
      </c>
      <c r="GM7" s="36">
        <f>IF(F7="","",F7)</f>
        <v>5</v>
      </c>
      <c r="GN7" s="36">
        <f>IF(I7="","",I7)</f>
        <v>0</v>
      </c>
      <c r="GO7" s="36" t="str">
        <f>IF(L7="","",L7)</f>
        <v/>
      </c>
      <c r="GP7" s="36" t="str">
        <f>IF(O7="","",O7)</f>
        <v/>
      </c>
      <c r="GQ7" s="36" t="str">
        <f>IF(R7="","",R7)</f>
        <v/>
      </c>
      <c r="GR7" s="36" t="str">
        <f>IF(U7="","",U7)</f>
        <v/>
      </c>
      <c r="GS7" s="36" t="str">
        <f>IF(X7="","",X7)</f>
        <v/>
      </c>
      <c r="GU7" s="36">
        <f>IF(F8="","",F8)</f>
        <v>2</v>
      </c>
      <c r="GV7" s="36">
        <f>IF(I8="","",I8)</f>
        <v>0</v>
      </c>
      <c r="GW7" s="36" t="str">
        <f>IF(L8="","",L8)</f>
        <v/>
      </c>
      <c r="GX7" s="36" t="str">
        <f>IF(O8="","",O8)</f>
        <v/>
      </c>
      <c r="GY7" s="36" t="str">
        <f>IF(R8="","",R8)</f>
        <v/>
      </c>
      <c r="GZ7" s="36" t="str">
        <f>IF(U8="","",U8)</f>
        <v/>
      </c>
      <c r="HA7" s="36" t="str">
        <f>IF(X8="","",X8)</f>
        <v/>
      </c>
      <c r="HB7" s="152"/>
      <c r="HC7" s="121">
        <v>1</v>
      </c>
      <c r="HD7" s="36" t="str">
        <f>IF(SUM($BH7:$BK7)&gt;=2,$BH$2,"")</f>
        <v/>
      </c>
      <c r="HE7" s="36">
        <f>FN7</f>
        <v>1</v>
      </c>
      <c r="HF7" s="36">
        <f>IF(HE7="","",(INDEX($GD$7:$GD$22,HE7)))</f>
        <v>2</v>
      </c>
      <c r="HG7" s="36">
        <f>IF(HE7="","",(INDEX($GE$7:$GE$22,HE7)))</f>
        <v>3</v>
      </c>
      <c r="HH7" s="36" t="str">
        <f>IF(HE7="","",(INDEX($GF$7:$GF$22,HE7)))</f>
        <v>VL</v>
      </c>
      <c r="HI7" s="36" t="str">
        <f>IF(HE7="","",(INDEX($GG$7:$GG$22,HE7)))</f>
        <v/>
      </c>
      <c r="HK7" s="36" t="str">
        <f>IF(HE7="","",(INDEX($HD$7:$HD$22,HE7)))</f>
        <v/>
      </c>
      <c r="HM7" s="36">
        <f>IF(HE7="",$BK$2,(IF(HK7=$BH$2,$BK$2,HC7)))</f>
        <v>1</v>
      </c>
      <c r="HN7" s="36">
        <f>SMALL($HM$7:$HM$22,HC7)</f>
        <v>1</v>
      </c>
      <c r="HO7" s="36">
        <f t="shared" ref="HO7:HO22" si="9">IF(HN7=$BK$2,"",(INDEX($HE$7:$HE$22,HN7)))</f>
        <v>1</v>
      </c>
      <c r="HQ7" s="36">
        <f>VALUE(IF(HN7=HN8,1,0))</f>
        <v>0</v>
      </c>
      <c r="HR7" s="36">
        <f>IF(HQ7=HQ8,0,1)</f>
        <v>0</v>
      </c>
      <c r="HS7" s="36">
        <f>IF(HO7="","",(IF(HQ6=0,HO7,(IF((HR7*$HQ$6)=1,HO7,IF((HR8*$HQ$6)=1,HO8,IF((HR9*$HQ$6)=1,HO9,IF((HR10*$HQ$6)=1,HO10,IF((HR11*$HQ$6)=1,HO11,IF((HR12*$HQ$6)=1,HO12,IF((HR13*$HQ$6)=1,HO13,IF((HR14*$HQ$6)=1,HO14,""))))))))))))</f>
        <v>1</v>
      </c>
      <c r="HT7" s="36">
        <f>IF(HS7="",0,1)</f>
        <v>1</v>
      </c>
      <c r="HU7" s="149" t="str">
        <f>IF((HR7*$HT$6)=1,$HS$6,"")</f>
        <v/>
      </c>
      <c r="HV7" s="138"/>
      <c r="HW7" s="36" t="str">
        <f>IF(AS7="","",AS7)</f>
        <v/>
      </c>
      <c r="HX7" s="36">
        <f>IF(HS7="","",(INDEX($GD$7:$GD$22,$HS7)))</f>
        <v>2</v>
      </c>
      <c r="HY7" s="36">
        <f>IF(HS7="","",(INDEX($GE$7:$GE$22,$HS7)))</f>
        <v>3</v>
      </c>
      <c r="HZ7" s="36" t="str">
        <f>IF(HS7="","",(INDEX($GF$7:$GF$22,$HS7)))</f>
        <v>VL</v>
      </c>
      <c r="IA7" s="36" t="str">
        <f>IF(HS7="","",(INDEX($GG$7:$GG$22,$HS7)))</f>
        <v/>
      </c>
      <c r="IC7" s="36" t="str">
        <f>IF(HS7="","",(IF(HW7=HS7,$IC$6,"")))</f>
        <v/>
      </c>
      <c r="ID7" s="36" t="str">
        <f>(IF(HW7="","",(IF(HW7=HX7,$ID$6,IF(HW7=HY7,$ID$6,IF(HW7=HZ7,$ID$6,IF(HW7=IA7,$ID$6,"")))))))</f>
        <v/>
      </c>
      <c r="IE7" s="36" t="str">
        <f>IF(HS7="","",(IF(HW7=$HS$7,$HU$7,IF(HW7=$HS$8,$HU$8,IF(HW7=$HS$9,$HU$9,IF(HW7=$HS$10,$HU$10,IF(HW7=$HS$11,$HU$11,IF(HW7=$HS$12,$HU$12,IF(HW7=$HS$13,$HU$13,IF(HW7=$HS$14,$HU$14,""))))))))))</f>
        <v/>
      </c>
      <c r="IF7" s="36">
        <f>IF(HS7="","",(IF(HW7="",0,(IF(HW7=$HS$7,1,IF(HW7=$HS$8,1,IF(HW7=$HS$9,1,IF(HW7=$HS$10,1,IF(HW7=$HS$11,1,IF(HW7=$HS$12,1,IF(HW7=$HS$13,1,IF(HW7=$HS$14,1,0)*0)))))))))))</f>
        <v>0</v>
      </c>
      <c r="IG7" s="36" t="str">
        <f>IF(HW7="","",(IF(IF7=0,$IF$6,"")))</f>
        <v/>
      </c>
      <c r="IH7" s="149" t="str">
        <f>IF(IC7="",IF(ID7="",IF(IG7="",IF(IE7="","",IE7),IG7),ID7),IC7)</f>
        <v/>
      </c>
      <c r="II7" s="138"/>
      <c r="IJ7" s="36" t="str">
        <f>IF(HS7="","",(IF(HS7=$HW$7,$HS$7,IF(HS7=$HW$8,$HS$8,IF(HS7=$HW$9,$HS$9,IF(HS7=$HW$10,$HS$10,IF(HS7=$HW$11,$HS$11,IF(HS7=$HW$12,$HS$12,IF(HS7=$HW$13,$HS$13,IF(HS7=$HW$14,$HS$14,""))))))))))</f>
        <v/>
      </c>
      <c r="IL7" s="36" t="str">
        <f>IF(HU7="",IF(HW7="",IF(IJ7="","",IJ7),HW7),HU7)</f>
        <v/>
      </c>
      <c r="IM7" s="36">
        <f>HS7</f>
        <v>1</v>
      </c>
      <c r="IN7" s="36" t="str">
        <f>IF(HC7=$IM$7,$IL$7,IF(HC7=$IM$8,$IL$8,IF(HC7=$IM$9,$IL$9,IF(HC7=$IM$10,$IL$10,IF(HC7=$IM$11,$IL$11,IF(HC7=$IM$12,$IL$12,IF(HC7=$IM$13,$IL$13,IF(HC7=$IM$14,$IL$14,""))))))))</f>
        <v/>
      </c>
      <c r="IP7" s="36" t="str">
        <f>IN7</f>
        <v/>
      </c>
      <c r="IQ7" s="152"/>
      <c r="IR7" s="121">
        <v>1</v>
      </c>
      <c r="IS7" s="36" t="str">
        <f>IF(SUM($BH7:$BL7)&gt;1,$BH$2,"")</f>
        <v/>
      </c>
      <c r="IT7" s="36">
        <f>HS7</f>
        <v>1</v>
      </c>
      <c r="IU7" s="36">
        <f>IF(IT7="","",(INDEX($GD$7:$GD$22,IT7)))</f>
        <v>2</v>
      </c>
      <c r="IV7" s="36">
        <f>IF($IT7="","",(INDEX($GE$7:$GE$22,$IT7)))</f>
        <v>3</v>
      </c>
      <c r="IW7" s="36" t="str">
        <f>IF($IT7="","",(INDEX($GF$7:$GF$22,$IT7)))</f>
        <v>VL</v>
      </c>
      <c r="IX7" s="36" t="str">
        <f>IF($IT7="","",(INDEX($GG$7:$GG$22,$IT7)))</f>
        <v/>
      </c>
      <c r="IY7" s="36" t="str">
        <f>IF($IT7="","",(INDEX($GH$7:$GH$22,$IT7)))</f>
        <v/>
      </c>
      <c r="IZ7" s="36" t="str">
        <f>IF($IT7="","",(INDEX($IS$7:$IS$22,$IT7)))</f>
        <v/>
      </c>
      <c r="JB7" s="36">
        <f>IF(IT7="",$BK$2,(IF(IZ7=$BH$2,$BK$2,IR7)))</f>
        <v>1</v>
      </c>
      <c r="JC7" s="36">
        <f>SMALL($JB$7:$JB$22,IR7)</f>
        <v>1</v>
      </c>
      <c r="JD7" s="36">
        <f t="shared" ref="JD7:JD24" si="10">IF(JC7=$BK$2,"",(INDEX($IT$7:$IT$22,JC7)))</f>
        <v>1</v>
      </c>
      <c r="JF7" s="36">
        <f>VALUE(IF(JC7=JC8,1,0))</f>
        <v>0</v>
      </c>
      <c r="JG7" s="36">
        <f>IF(JF7=JF8,0,1)</f>
        <v>0</v>
      </c>
      <c r="JH7" s="36">
        <f>IF(JD7="","",(IF(JF6=0,JD7,(IF((JG7*$JF$6)=1,JD7,IF((JG8*$JF$6)=1,JD8,IF((JG9*$JF$6)=1,JD9,IF((JG10*$JF$6)=1,JD10,IF((JG11*$JF$6)=1,JD11,IF((JG12*$JF$6)=1,JD12,IF((JG13*$JF$6)=1,JD13,IF((JG14*$JF$6)=1,JD14,""))))))))))))</f>
        <v>1</v>
      </c>
      <c r="JI7" s="36">
        <f>IF(JH7="",0,1)</f>
        <v>1</v>
      </c>
      <c r="JJ7" s="149" t="str">
        <f>IF(AX7="","",(IF((JG7*$JI$6)=1,$HS$6,"")))</f>
        <v/>
      </c>
      <c r="JL7" s="36" t="str">
        <f>IF(AX7="","",AX7)</f>
        <v/>
      </c>
      <c r="JM7" s="36">
        <f>IF(JH7="","",(INDEX($GD$7:$GD$22,$JH7)))</f>
        <v>2</v>
      </c>
      <c r="JN7" s="36">
        <f>IF(JH7="","",(INDEX($GE$7:$GE$22,$JH7)))</f>
        <v>3</v>
      </c>
      <c r="JO7" s="36" t="str">
        <f>IF(JH7="","",(INDEX($GF$7:$GF$22,$JH7)))</f>
        <v>VL</v>
      </c>
      <c r="JP7" s="36" t="str">
        <f>IF(JH7="","",(INDEX($GG$7:$GG$22,$JH7)))</f>
        <v/>
      </c>
      <c r="JQ7" s="36" t="str">
        <f>IF(JH7="","",(INDEX($GH$7:$GH$22,$JH7)))</f>
        <v/>
      </c>
      <c r="JS7" s="36" t="str">
        <f>IF(JH7="","",(IF(JL7=JH7,$JS$6,"")))</f>
        <v/>
      </c>
      <c r="JT7" s="36" t="str">
        <f>IF(JH7="","",(IF(JL7=JM7,$ID$6,IF(JL7=JN7,$ID$6,IF(JL7=JO7,$ID$6,IF(JL7=JP7,$ID$6,IF(JL7=JQ7,$ID$6,"")))))))</f>
        <v>chyba</v>
      </c>
      <c r="JU7" s="36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36">
        <f>IF(JH7="","",(IF(JL7="",0,(IF(JL7=$JH$7,1,IF(JL7=$JH$8,1,IF(JL7=$JH$9,1,IF(JL7=$JH$10,1,IF(JL7=$JH$11,1,IF(JL7=$JH$12,1,IF(JL7=$JH$13,1,IF(JL7=$JH$14,1,0)*0)))))))))))</f>
        <v>0</v>
      </c>
      <c r="JW7" s="36" t="str">
        <f>IF(JL7="","",(IF(JV7=0,$JV$6,"")))</f>
        <v/>
      </c>
      <c r="JX7" s="149" t="str">
        <f>IF(JS7="",IF(JT7="",IF(JW7="",IF(JU7="","",JU7),JW7),JT7),JS7)</f>
        <v>chyba</v>
      </c>
      <c r="JY7" s="138"/>
      <c r="JZ7" s="36" t="str">
        <f>IF(JH7="","",(IF(JH7=$JL$7,$JH$7,IF(JH7=$JL$8,$JH$8,IF(JH7=$JL$9,$JH$9,IF(JH7=$JL$10,$JH$10,IF(JH7=$JL$11,$JH$11,IF(JH7=$JL$12,$JH$12,IF(JH7=$JL$13,$JH$13,IF(JH7=$JL$14,$JH$14,""))))))))))</f>
        <v/>
      </c>
      <c r="KB7" s="36" t="str">
        <f>IF(JJ7="",IF(JL7="",IF(JZ7="","",JZ7),JL7),JJ7)</f>
        <v/>
      </c>
      <c r="KC7" s="36">
        <f>JH7</f>
        <v>1</v>
      </c>
      <c r="KD7" s="36" t="str">
        <f>IF(IR7=$KC$7,$KB$7,IF(IR7=$KC$8,$KB$8,IF(IR7=$KC$9,$KB$9,IF(IR7=$KC$10,$KB$10,IF(IR7=$KC$11,$KB$11,IF(IR7=$KC$12,$KB$12,IF(IR7=$KC$13,$KB$13,IF(IR7=$KC$14,$KB$14,""))))))))</f>
        <v/>
      </c>
      <c r="KF7" s="36" t="str">
        <f>KD7</f>
        <v/>
      </c>
      <c r="KG7" s="185"/>
      <c r="KH7" s="121">
        <v>1</v>
      </c>
      <c r="KI7" s="186" t="str">
        <f>IF(SUM($BH7:$BM7)&gt;1,$BH$2,"")</f>
        <v/>
      </c>
      <c r="KJ7" s="85">
        <f>JH7</f>
        <v>1</v>
      </c>
      <c r="KK7" s="85">
        <f>IF(KJ7="","",(INDEX($GD$7:$GD$22,KJ7)))</f>
        <v>2</v>
      </c>
      <c r="KL7" s="85">
        <f>IF($KJ7="","",(INDEX($GE$7:$GE$22,$KJ7)))</f>
        <v>3</v>
      </c>
      <c r="KM7" s="85" t="str">
        <f>IF($KJ7="","",(INDEX($GF$7:$GF$22,$KJ7)))</f>
        <v>VL</v>
      </c>
      <c r="KN7" s="85" t="str">
        <f>IF($KJ7="","",(INDEX($GG$7:$GG$22,$KJ7)))</f>
        <v/>
      </c>
      <c r="KO7" s="85" t="str">
        <f>IF($KJ7="","",(INDEX($GH$7:$GH$22,$KJ7)))</f>
        <v/>
      </c>
      <c r="KP7" s="85" t="str">
        <f>IF($KJ7="","",(INDEX($GI$7:$GI$22,$KJ7)))</f>
        <v/>
      </c>
      <c r="KQ7" s="85" t="str">
        <f>IF($KJ7="","",(INDEX($KI$7:$KI$22,$KJ7)))</f>
        <v/>
      </c>
      <c r="KR7" s="85"/>
      <c r="KS7" s="85">
        <f>IF(KJ7="",$BK$2,(IF(KQ7=$BH$2,$BK$2,KH7)))</f>
        <v>1</v>
      </c>
      <c r="KT7" s="85">
        <f>SMALL($KS$7:$KS$22,KH7)</f>
        <v>1</v>
      </c>
      <c r="KU7" s="85">
        <f t="shared" ref="KU7:KU22" si="12">IF(KT7=$BK$2,"",(INDEX($KJ$7:$KJ$22,KT7)))</f>
        <v>1</v>
      </c>
      <c r="KV7" s="85"/>
      <c r="KW7" s="85">
        <f>VALUE(IF(KT7=KT8,1,0))</f>
        <v>0</v>
      </c>
      <c r="KX7" s="85">
        <f>IF(KW7=KW8,0,1)</f>
        <v>0</v>
      </c>
      <c r="KY7" s="85">
        <f>IF(KU7="","",(IF(KW6=0,KU7,(IF((KX7*$KW$6)=1,KU7,IF((KX8*$KW$6)=1,KU8,IF((KX9*$KW$6)=1,KU9,IF((KX10*$KW$6)=1,KU10,IF((KX11*$KW$6)=1,KU11,IF((KX12*$KW$6)=1,KU12,IF((KX13*$KW$6)=1,KU13,IF((KX14*$KW$6)=1,KU14,""))))))))))))</f>
        <v>1</v>
      </c>
      <c r="KZ7" s="85">
        <f>IF(KY7="",0,1)</f>
        <v>1</v>
      </c>
      <c r="LA7" s="141" t="str">
        <f>IF((KX7*$KZ$6)=1,$HS$6,"")</f>
        <v/>
      </c>
      <c r="LB7" s="85"/>
      <c r="LC7" s="85" t="str">
        <f>IF(BC7="","",BC7)</f>
        <v/>
      </c>
      <c r="LD7" s="85">
        <f>IF(KY7="","",(INDEX($GD$7:$GD$22,$KY7)))</f>
        <v>2</v>
      </c>
      <c r="LE7" s="85">
        <f>IF(KY7="","",(INDEX($GE$7:$GE$22,$KY7)))</f>
        <v>3</v>
      </c>
      <c r="LF7" s="85" t="str">
        <f>IF(KY7="","",(INDEX($GF$7:$GF$22,$KY7)))</f>
        <v>VL</v>
      </c>
      <c r="LG7" s="85" t="str">
        <f>IF(KY7="","",(INDEX($GG$7:$GG$22,$KY7)))</f>
        <v/>
      </c>
      <c r="LH7" s="85" t="str">
        <f>IF(KY7="","",(INDEX($GH$7:$GH$22,$KY7)))</f>
        <v/>
      </c>
      <c r="LI7" s="85" t="str">
        <f>IF(KY7="","",(INDEX($GI$7:$GI$22,$KY7)))</f>
        <v/>
      </c>
      <c r="LJ7" s="85" t="str">
        <f>IF(KY7="","",(IF(LC7=KY7,$LJ$6,"")))</f>
        <v/>
      </c>
      <c r="LK7" s="85" t="str">
        <f>IF(KY7="","",(IF(LC7=LD7,$ID$6,IF(LC7=LE7,$ID$6,IF(LC7=LF7,$ID$6,IF(LC7=LG7,$ID$6,IF(LC7=LH7,$ID$6,IF(LC7=LI7,$ID$6,""))))))))</f>
        <v>chyba</v>
      </c>
      <c r="LL7" s="85" t="str">
        <f>IF(KY7="","",(IF(KY7="","",(IF(LC7=$KY$7,$LA$7,IF(LC7=$KY$8,$LA$8,IF(LC7=$KY$9,$LA$9,IF(LC7=$KY$10,$LA$10,IF(LC7=$KY$11,$LA$11,IF(LC7=$KY$12,$LA$12,IF(LC7=$KY$13,$LA$13,IF(LC7=$KY$14,$LA$14,""))))))))))))</f>
        <v/>
      </c>
      <c r="LM7" s="85">
        <f>IF(KY7="","",(IF(LC7="",0,(IF(LC7=$KY$7,1,IF(LC7=$KY$8,1,IF(LC7=$KY$9,1,IF(LC7=$KY$10,1,IF(LC7=$KY$11,1,IF(LC7=$KY$12,1,IF(LC7=$KY$13,1,IF(LC7=$KY$14,1,0)*0)))))))))))</f>
        <v>0</v>
      </c>
      <c r="LN7" s="85" t="str">
        <f>IF(LC7="","",(IF(LM7=0,$LM$6,"")))</f>
        <v/>
      </c>
      <c r="LO7" s="141" t="str">
        <f>IF(LJ7="",IF(LK7="",IF(LN7="",IF(LL7="","",LL7),LN7),LK7),LJ7)</f>
        <v>chyba</v>
      </c>
      <c r="LP7" s="140"/>
      <c r="LQ7" s="85" t="str">
        <f>IF(KY7="","",(IF(KY7=$LC$7,$KY$7,IF(KY7=$LC$8,$KY$8,IF(KY7=$LC$9,$KY$9,IF(KY7=$LC$10,$KY$10,IF(KY7=$LC$11,$KY$11,IF(KY7=$LC$12,$KY$12,IF(KY7=$LC$13,$KY$13,IF(KY7=$LC$14,$KY$14,""))))))))))</f>
        <v/>
      </c>
      <c r="LR7" s="85"/>
      <c r="LS7" s="85" t="str">
        <f>IF(LA7="",IF(LC7="",IF(LQ7="","",LQ7),LC7),LA7)</f>
        <v/>
      </c>
      <c r="LT7" s="85">
        <f>KY7</f>
        <v>1</v>
      </c>
      <c r="LU7" s="85" t="str">
        <f>IF(KH7=$KC$7,$LS$7,IF(KH7=$KC$8,$LS$8,IF(KH7=$KC$9,$LS$9,IF(KH7=$KC$10,$LS$10,IF(KH7=$KC$11,$LS$11,IF(KH7=$KC$12,$LS$12,IF(KH7=$KC$13,$LS$13,IF(KH7=$KC$14,$LS$14,""))))))))</f>
        <v/>
      </c>
      <c r="LV7" s="85"/>
      <c r="LW7" s="182" t="str">
        <f>LU7</f>
        <v/>
      </c>
      <c r="LX7" s="152"/>
    </row>
    <row r="8" spans="1:336" ht="14.25" customHeight="1" thickBot="1" x14ac:dyDescent="0.3">
      <c r="A8" s="365"/>
      <c r="B8" s="360"/>
      <c r="C8" s="363"/>
      <c r="D8" s="362"/>
      <c r="E8" s="334"/>
      <c r="F8" s="29">
        <v>2</v>
      </c>
      <c r="G8" s="28"/>
      <c r="H8" s="346"/>
      <c r="I8" s="29">
        <v>0</v>
      </c>
      <c r="J8" s="28"/>
      <c r="K8" s="346"/>
      <c r="L8" s="29"/>
      <c r="M8" s="28"/>
      <c r="N8" s="346"/>
      <c r="O8" s="29"/>
      <c r="P8" s="28"/>
      <c r="Q8" s="346"/>
      <c r="R8" s="29"/>
      <c r="S8" s="28"/>
      <c r="T8" s="346"/>
      <c r="U8" s="29"/>
      <c r="V8" s="28"/>
      <c r="W8" s="337"/>
      <c r="X8" s="29"/>
      <c r="Y8" s="28"/>
      <c r="Z8" s="338"/>
      <c r="AA8" s="335"/>
      <c r="AB8" s="336"/>
      <c r="AC8" s="355"/>
      <c r="AD8" s="327"/>
      <c r="AE8" s="328"/>
      <c r="AG8" s="252">
        <v>2</v>
      </c>
      <c r="AH8" s="138">
        <f t="shared" ref="AH8:AH22" si="13">IF($K$5="","",(IF($H$5="x",CU8,"")))</f>
        <v>3</v>
      </c>
      <c r="AI8" s="177"/>
      <c r="AJ8" s="36">
        <f t="shared" ref="AJ8:AJ17" si="14">IF($K$5="","",(IF(EB8="",(IF(AH8="","",(IF(CX8=$BQ$2,$BQ$2,IF((AI8)="","",AI8))))),EB8)))</f>
        <v>2</v>
      </c>
      <c r="AK8" s="149" t="str">
        <f t="shared" ref="AK8:AK18" si="15">IF($K$5="","",(IF($H$5="","",(DM8))))</f>
        <v/>
      </c>
      <c r="AM8" s="138">
        <f t="shared" ref="AM8:AM22" si="16">IF($N$5="x",EQ8,"")</f>
        <v>3</v>
      </c>
      <c r="AN8" s="177"/>
      <c r="AO8" s="36" t="str">
        <f t="shared" si="3"/>
        <v/>
      </c>
      <c r="AP8" s="149" t="str">
        <f t="shared" ref="AP8:AP18" si="17">IF($N$5="","",(FM8))</f>
        <v/>
      </c>
      <c r="AR8" s="138" t="str">
        <f t="shared" ref="AR8:AR18" si="18">IF($Q$5="x",HS8,"")</f>
        <v/>
      </c>
      <c r="AS8" s="177"/>
      <c r="AT8" s="36" t="str">
        <f t="shared" ref="AT8:AT17" si="19">IF($Q$5="","",(IL8))</f>
        <v/>
      </c>
      <c r="AU8" s="149" t="str">
        <f>IF(AS7="","",(IF($Q$5="","",(IH8))))</f>
        <v/>
      </c>
      <c r="AW8" s="138" t="str">
        <f t="shared" si="4"/>
        <v/>
      </c>
      <c r="AX8" s="177"/>
      <c r="AY8" s="36" t="str">
        <f t="shared" ref="AY8:AY17" si="20">IF($T$5="","",(KB8))</f>
        <v/>
      </c>
      <c r="AZ8" s="149" t="str">
        <f t="shared" ref="AZ8:AZ18" si="21">IF($T$5="","",(JX8))</f>
        <v/>
      </c>
      <c r="BB8" s="138" t="str">
        <f t="shared" ref="BB8:BB17" si="22">IF($W$5="x",KY8,"")</f>
        <v/>
      </c>
      <c r="BC8" s="177"/>
      <c r="BD8" s="36" t="str">
        <f t="shared" ref="BD8:BD17" si="23">IF($W$5="","",(LS8))</f>
        <v/>
      </c>
      <c r="BE8" s="149" t="str">
        <f t="shared" ref="BE8:BE18" si="24">IF($W$5="","",(LO8))</f>
        <v/>
      </c>
      <c r="BH8" s="36" t="str">
        <f>IF(E8=$BQ$2,"",(IF(A8="","",(IF(F8="","",(IF(F8&lt;2,1,0)))))))</f>
        <v/>
      </c>
      <c r="BI8" s="36" t="str">
        <f>IF(H8=$BQ$2,"",(IF(A8="","",(IF(I8="","",(IF(I8&lt;2,1,0)))))))</f>
        <v/>
      </c>
      <c r="BJ8" s="36" t="str">
        <f>IF(K8=$BQ$2,"",(IF(A8="","",(IF(L8="","",(IF(L8&lt;2,1,0)))))))</f>
        <v/>
      </c>
      <c r="BK8" s="36" t="str">
        <f>IF(W8=$BQ$2,"",(IF(A8="","",(IF(X8="","",(IF(X8&lt;2,1,0)))))))</f>
        <v/>
      </c>
      <c r="BP8" s="36" t="str">
        <f>IF(BH8="","",(SUM(BH8:BK8)))</f>
        <v/>
      </c>
      <c r="BR8" s="36">
        <f>BP9</f>
        <v>2</v>
      </c>
      <c r="BS8" s="36">
        <f>D9</f>
        <v>2</v>
      </c>
      <c r="BT8" s="36" t="str">
        <f>IF(SUM(BH9,BI9)=2,$BH$2,"")</f>
        <v/>
      </c>
      <c r="BV8" s="36">
        <f t="shared" si="5"/>
        <v>999</v>
      </c>
      <c r="BW8" s="36">
        <f t="shared" ref="BW8:BW38" si="25">IF(BH8="",$BK$2,(IF(C8=$BH$2,$BK$2,BP8)))</f>
        <v>999</v>
      </c>
      <c r="BX8" s="36">
        <f>BX7+1</f>
        <v>2</v>
      </c>
      <c r="BY8" s="36">
        <f t="shared" ref="BY8:BY38" si="26">SMALL($BV$7:$BV$38,BX8)</f>
        <v>3</v>
      </c>
      <c r="CB8" s="122">
        <v>2</v>
      </c>
      <c r="CC8" s="36">
        <f>IF(D9="",0,D9)</f>
        <v>2</v>
      </c>
      <c r="CD8" s="36">
        <f t="shared" ref="CD8:CD22" si="27">IF(CC8=0,0,1)</f>
        <v>1</v>
      </c>
      <c r="CE8" s="36">
        <f t="shared" ref="CE8:CE22" si="28">IF(CD8=CD9,0,1)*$CF$6</f>
        <v>0</v>
      </c>
      <c r="CH8" s="36">
        <f>IF(CC8=0,0,(IF($CF$6=0,CC8,CC7)))</f>
        <v>1</v>
      </c>
      <c r="CI8" s="36">
        <f t="shared" ref="CI8:CI22" si="29">IF(CH8=0,0,1)</f>
        <v>1</v>
      </c>
      <c r="CJ8" s="36">
        <f t="shared" ref="CJ8:CJ22" si="30">IF(CI8=CI9,0,1)*$CK$6</f>
        <v>0</v>
      </c>
      <c r="CM8" s="36">
        <f>IF(CH8=0,0,(IF($CK$6=0,CH8,CH7)))</f>
        <v>3</v>
      </c>
      <c r="CO8" s="36">
        <f t="shared" ref="CO8:CO22" si="31">IF(CC8=0,0,1)</f>
        <v>1</v>
      </c>
      <c r="CP8" s="36" t="str">
        <f t="shared" ref="CP8:CP22" si="32">IF(CM8=0,"",(INDEX($BT$7:$BT$22,CM8)))</f>
        <v/>
      </c>
      <c r="CQ8" s="36">
        <f t="shared" ref="CQ8:CQ22" si="33">IF(CM8=0,$BK$2,CM8)</f>
        <v>3</v>
      </c>
      <c r="CR8" s="36">
        <f t="shared" ref="CR8:CR22" si="34">IF(CP8="",CB8,$BK$2)</f>
        <v>2</v>
      </c>
      <c r="CS8" s="36">
        <f t="shared" ref="CS8:CS22" si="35">SMALL($CR$7:$CR$22,CB8)</f>
        <v>2</v>
      </c>
      <c r="CT8" s="36">
        <f t="shared" ref="CT8:CT22" si="36">IF(CS8=$BK$2,"",(INDEX($CQ$7:$CQ$22,CS8)))</f>
        <v>3</v>
      </c>
      <c r="CU8" s="36">
        <f t="shared" ref="CU8:CU22" si="37">IF(CT8=$BK$2,"",CT8)</f>
        <v>3</v>
      </c>
      <c r="CV8" s="36">
        <f t="shared" ref="CV8:CV22" si="38">IF(CU8="",0,1)</f>
        <v>1</v>
      </c>
      <c r="CW8" s="36">
        <f t="shared" ref="CW8:CW22" si="39">IF(CV8=CV9,0,1)*$CV$6</f>
        <v>0</v>
      </c>
      <c r="CX8" s="149">
        <f>IF(CW8=0,CU8,$BQ$2)</f>
        <v>3</v>
      </c>
      <c r="DA8" s="36">
        <f>D9</f>
        <v>2</v>
      </c>
      <c r="DB8" s="36">
        <f>E9</f>
        <v>1</v>
      </c>
      <c r="DC8" s="36" t="str">
        <f>H9</f>
        <v>VL</v>
      </c>
      <c r="DD8" s="36" t="str">
        <f t="shared" ref="DD8:DD22" si="40">IF((C8)="","",C8)</f>
        <v/>
      </c>
      <c r="DF8" s="36">
        <f t="shared" ref="DF8:DF22" si="41">IF((ISNUMBER(AH8)),(INDEX($DA$7:$DA$22,AH8)),"")</f>
        <v>3</v>
      </c>
      <c r="DG8" s="36" t="str">
        <f t="shared" ref="DG8:DG22" si="42">IF((ISNUMBER(AH8)),(INDEX($DB$7:$DB$22,AH8)),"")</f>
        <v>VL</v>
      </c>
      <c r="DH8" s="36">
        <f t="shared" ref="DH8:DH22" si="43">IF((ISNUMBER(AH8)),(INDEX($DC$7:$DC$22,AH8)),"")</f>
        <v>1</v>
      </c>
      <c r="DI8" s="36" t="str">
        <f t="shared" si="6"/>
        <v/>
      </c>
      <c r="DJ8" s="36" t="str">
        <f t="shared" ref="DJ8:DJ22" si="44">IF((ISNUMBER(AI8)),(INDEX($BT$7:$BT$22,AI8)),"")</f>
        <v/>
      </c>
      <c r="DL8" s="36" t="str">
        <f t="shared" si="7"/>
        <v/>
      </c>
      <c r="DM8" s="149" t="str">
        <f t="shared" ref="DM8:DM22" si="45">IF(DI8="",(IF(DJ8="",IF(DL8="","",$DL$6),$DJ$6)),$DI$6)</f>
        <v/>
      </c>
      <c r="DN8" s="36">
        <f t="shared" ref="DN8:DN22" si="46">DA8</f>
        <v>2</v>
      </c>
      <c r="DO8" s="36">
        <f t="shared" ref="DO8:DO22" si="47">AH8</f>
        <v>3</v>
      </c>
      <c r="DP8" s="36">
        <f t="shared" ref="DP8:DP22" si="48">AJ8</f>
        <v>2</v>
      </c>
      <c r="DR8" s="36">
        <f t="shared" ref="DR8:DR22" si="49">IF(DN8=$DO$7,$DP$7,IF(DN8=$DO$8,$DP$8,IF(DN8=$DO$9,$DP$9,IF(DN8=$DO$10,$DP$10,IF(DN8=$DO$11,$DP$11,IF(DN8=$DO$12,$DP$12,IF(DN8=$DO$13,$DP$13,IF(DN8=$DO$14,$DP$14,""))))))))</f>
        <v>3</v>
      </c>
      <c r="DS8" s="36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36">
        <f t="shared" ref="DT8:DT22" si="51">IF(DR8="",DS8,DR8)</f>
        <v>3</v>
      </c>
      <c r="DX8" s="152">
        <f t="shared" ref="DX8:DX22" si="52">AH8</f>
        <v>3</v>
      </c>
      <c r="DY8" s="36" t="str">
        <f t="shared" ref="DY8:DY22" si="53">IF(AI8="","",AI8)</f>
        <v/>
      </c>
      <c r="DZ8" s="36">
        <f t="shared" ref="DZ8:DZ22" si="54">IF(DX8="","",(IF(DY8="",(IF(DX8=$DY$7,$DX$7,IF(DX8=$DY$8,$DX$8,IF(DX8=$DY$9,$DX$9,IF(DX8=$DY$10,$DX$10,IF(DX8=$DY$11,$DX$11,IF(DX8=$DY$12,$DX$12,IF(DX8=$DY$13,$DX$13,IF(DX8=$DY$14,$DX$14,""))))))))),DY8)))</f>
        <v>2</v>
      </c>
      <c r="EA8" s="36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173">
        <f t="shared" ref="EB8:EB22" si="56">IF(DZ8="",EA8,DZ8)</f>
        <v>2</v>
      </c>
      <c r="ED8" s="122">
        <v>2</v>
      </c>
      <c r="EE8" s="36">
        <f t="shared" ref="EE8:EE22" si="57">CU8</f>
        <v>3</v>
      </c>
      <c r="EF8" s="36">
        <f t="shared" ref="EF8:EF22" si="58">IF(EE8="",0,1)</f>
        <v>1</v>
      </c>
      <c r="EG8" s="36" t="str">
        <f>IF(SUM($BH9:$BJ9)=2,$BH$2,"")</f>
        <v>xxx</v>
      </c>
      <c r="EH8" s="36" t="str">
        <f t="shared" ref="EH8:EH22" si="59">IF(EE8="","",(INDEX($EG$7:$EG$22,EE8)))</f>
        <v/>
      </c>
      <c r="EJ8" s="36">
        <f t="shared" ref="EJ8:EJ22" si="60">IF(EE8="",$BK$2,(IF(EH8=$BH$2,$BK$2,ED8)))</f>
        <v>2</v>
      </c>
      <c r="EK8" s="36">
        <f t="shared" ref="EK8:EK22" si="61">SMALL($EJ$7:$EJ$22,ED8)</f>
        <v>3</v>
      </c>
      <c r="EL8" s="36">
        <f t="shared" ref="EL8:EL22" si="62">IF(EK8=$BK$2,"",(INDEX($EE$7:$EE$22,EK8)))</f>
        <v>1</v>
      </c>
      <c r="EM8" s="36">
        <f t="shared" ref="EM8:EM22" si="63">IF(EK8=EK9,1,0)</f>
        <v>0</v>
      </c>
      <c r="EN8" s="36">
        <f t="shared" ref="EN8:EN22" si="64">IF(EM8=EM9,0,1)</f>
        <v>1</v>
      </c>
      <c r="EQ8" s="36">
        <f>IF(EL8="","",(IF($CV$6=0,EL8,EL7)))</f>
        <v>3</v>
      </c>
      <c r="ER8" s="36">
        <f t="shared" ref="ER8:ER22" si="65">IF(EQ8="",0,1)</f>
        <v>1</v>
      </c>
      <c r="ES8" s="36">
        <f t="shared" ref="ES8:ES22" si="66">IF(ER8=ER9,0,1)</f>
        <v>1</v>
      </c>
      <c r="ET8" s="149" t="str">
        <f t="shared" ref="ET8:ET22" si="67">IF((ES8*$ER$6)=1,$EQ$6,"")</f>
        <v/>
      </c>
      <c r="EV8" s="36">
        <f>D9</f>
        <v>2</v>
      </c>
      <c r="EW8" s="36">
        <f>E9</f>
        <v>1</v>
      </c>
      <c r="EX8" s="36" t="str">
        <f>H9</f>
        <v>VL</v>
      </c>
      <c r="EY8" s="36">
        <f>K9</f>
        <v>3</v>
      </c>
      <c r="EZ8" s="36" t="str">
        <f t="shared" ref="EZ8:EZ22" si="68">EG8</f>
        <v>xxx</v>
      </c>
      <c r="FB8" s="36">
        <f t="shared" ref="FB8:FB22" si="69">EQ8</f>
        <v>3</v>
      </c>
      <c r="FC8" s="36" t="str">
        <f t="shared" ref="FC8:FC22" si="70">IF(AN8="","",AN8)</f>
        <v/>
      </c>
      <c r="FD8" s="36" t="str">
        <f t="shared" ref="FD8:FD17" si="71">IF(FB8="","",(INDEX($EW$7:$EW$22,FB8)))</f>
        <v>VL</v>
      </c>
      <c r="FE8" s="36">
        <f t="shared" ref="FE8:FE17" si="72">IF(FB8="","",(INDEX($EX$7:$EX$22,FB8)))</f>
        <v>1</v>
      </c>
      <c r="FF8" s="36">
        <f t="shared" ref="FF8:FF17" si="73">IF(FB8="","",(INDEX($EY$7:$EY$22,FB8)))</f>
        <v>2</v>
      </c>
      <c r="FG8" s="36" t="str">
        <f t="shared" ref="FG8:FG17" si="74">IF(FB8="","",(INDEX($EZ$7:$EZ$22,FB8)))</f>
        <v/>
      </c>
      <c r="FI8" s="36" t="str">
        <f t="shared" ref="FI8:FI22" si="75">IF(FB8="","",(IF(FB8=FD8,$FI$6,(IF(FB8=FE8,$FI$6,(IF(FB8=FF8,$FI$6,"")))))))</f>
        <v/>
      </c>
      <c r="FJ8" s="36" t="str">
        <f t="shared" ref="FJ8:FJ22" si="76">IF((ISNUMBER(AN8)),(INDEX($EZ$7:$EZ$22,AN8)),"")</f>
        <v/>
      </c>
      <c r="FL8" s="36" t="str">
        <f t="shared" ref="FL8:FL22" si="77">IF(FC8="","",(IF(FB8="","",(IF(FC8=FD8,$DF$2,IF(FC8=FE8,$DF$2,IF(FC8=FF8,$DF$2,"")))))))</f>
        <v/>
      </c>
      <c r="FM8" s="36" t="str">
        <f t="shared" ref="FM8:FM22" si="78">CONCATENATE(FI8,FJ8,FK8,FL8)</f>
        <v/>
      </c>
      <c r="FN8" s="36">
        <f t="shared" ref="FN8:FN22" si="79">AM8</f>
        <v>3</v>
      </c>
      <c r="FO8" s="36" t="str">
        <f t="shared" ref="FO8:FO22" si="80">IF(AN8="","",AN8)</f>
        <v/>
      </c>
      <c r="FP8" s="36" t="str">
        <f t="shared" ref="FP8:FP22" si="81">IF(FN8="","",(IF(FO8="",(IF(FN8=$FO$7,$FN$7,IF(FN8=$FO$8,$FN$8,IF(FN8=$FO$9,$FN$9,IF(FN8=$FO$10,$FN$10,IF(FN8=$FO$11,$FN$11,IF(FN8=$FO$12,$FN$12,IF(FN8=$FO$13,$FN$13,IF(FN8=$FO$14,$FN$14,""))))))))),FO8)))</f>
        <v/>
      </c>
      <c r="FQ8" s="3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173" t="str">
        <f t="shared" si="8"/>
        <v/>
      </c>
      <c r="FT8" s="36">
        <v>2</v>
      </c>
      <c r="FV8" s="36" t="str">
        <f t="shared" ref="FV8:FV22" si="83">IF(FT8=$FN$7,$FR$7,IF(FT8=$FN$8,$FR$8,IF(FT8=$FN$9,$FR$9,IF(FT8=$FN$10,$FR$10,IF(FT8=$FN$11,$FR$11,IF(FT8=$FN$12,$FR$12,IF(FT8=$FN$13,$FR$13,IF(FT8=$FN$14,$FR$14,""))))))))</f>
        <v/>
      </c>
      <c r="FW8" s="3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36" t="str">
        <f t="shared" ref="FX8:FX22" si="85">IF((CONCATENATE(FW8,FV8))="","",(IF((CONCATENATE(FW8,FV8))=$BQ$2,$BQ$2,VALUE(CONCATENATE(FW8,FV8)))))</f>
        <v/>
      </c>
      <c r="GA8" s="152"/>
      <c r="GB8" s="122">
        <v>2</v>
      </c>
      <c r="GC8" s="36">
        <f>IF(D9="","",D9)</f>
        <v>2</v>
      </c>
      <c r="GD8" s="36">
        <f>IF(E9="","",E9)</f>
        <v>1</v>
      </c>
      <c r="GE8" s="36" t="str">
        <f>IF(H9="","",H9)</f>
        <v>VL</v>
      </c>
      <c r="GF8" s="36">
        <f>IF(K9="","",K9)</f>
        <v>3</v>
      </c>
      <c r="GG8" s="36" t="str">
        <f>IF(N9="","",N9)</f>
        <v/>
      </c>
      <c r="GH8" s="36" t="str">
        <f>IF(Q9="","",Q9)</f>
        <v/>
      </c>
      <c r="GI8" s="36" t="str">
        <f>IF(T9="","",T9)</f>
        <v/>
      </c>
      <c r="GJ8" s="36" t="str">
        <f>IF(W9="","",W9)</f>
        <v/>
      </c>
      <c r="GK8" s="36" t="str">
        <f>IF(C9="","",C9)</f>
        <v>xxx</v>
      </c>
      <c r="GM8" s="36">
        <f>IF(F9="","",F9)</f>
        <v>0</v>
      </c>
      <c r="GN8" s="36" t="str">
        <f>IF(I9="","",I9)</f>
        <v/>
      </c>
      <c r="GO8" s="36">
        <f>IF(L9="","",L9)</f>
        <v>0</v>
      </c>
      <c r="GP8" s="36" t="str">
        <f>IF(O9="","",O9)</f>
        <v/>
      </c>
      <c r="GQ8" s="36" t="str">
        <f>IF(R9="","",R9)</f>
        <v/>
      </c>
      <c r="GR8" s="36" t="str">
        <f>IF(U9="","",U9)</f>
        <v/>
      </c>
      <c r="GS8" s="36" t="str">
        <f>IF(X9="","",X9)</f>
        <v/>
      </c>
      <c r="GU8" s="36">
        <f>IF(F10="","",F10)</f>
        <v>0</v>
      </c>
      <c r="GV8" s="36" t="str">
        <f>IF(I10="","",I10)</f>
        <v/>
      </c>
      <c r="GW8" s="36">
        <f>IF(L10="","",L10)</f>
        <v>0</v>
      </c>
      <c r="GX8" s="36" t="str">
        <f>IF(O10="","",O10)</f>
        <v/>
      </c>
      <c r="GY8" s="36" t="str">
        <f>IF(R10="","",R10)</f>
        <v/>
      </c>
      <c r="GZ8" s="36" t="str">
        <f>IF(U10="","",U10)</f>
        <v/>
      </c>
      <c r="HA8" s="36" t="str">
        <f>IF(X10="","",X10)</f>
        <v/>
      </c>
      <c r="HB8" s="152"/>
      <c r="HC8" s="122">
        <v>2</v>
      </c>
      <c r="HD8" s="36" t="str">
        <f>IF(SUM($BH9:$BK9)&gt;=2,$BH$2,"")</f>
        <v>xxx</v>
      </c>
      <c r="HE8" s="36">
        <f t="shared" ref="HE8:HE22" si="86">FN8</f>
        <v>3</v>
      </c>
      <c r="HF8" s="36" t="str">
        <f t="shared" ref="HF8:HF22" si="87">IF(HE8="","",(INDEX($GD$7:$GD$22,HE8)))</f>
        <v>VL</v>
      </c>
      <c r="HG8" s="36">
        <f t="shared" ref="HG8:HG22" si="88">IF(HE8="","",(INDEX($GE$7:$GE$22,HE8)))</f>
        <v>1</v>
      </c>
      <c r="HH8" s="36">
        <f t="shared" ref="HH8:HH22" si="89">IF(HE8="","",(INDEX($GF$7:$GF$22,HE8)))</f>
        <v>2</v>
      </c>
      <c r="HI8" s="36" t="str">
        <f t="shared" ref="HI8:HI22" si="90">IF(HE8="","",(INDEX($GG$7:$GG$22,HE8)))</f>
        <v/>
      </c>
      <c r="HK8" s="36" t="str">
        <f t="shared" ref="HK8:HK22" si="91">IF(HE8="","",(INDEX($HD$7:$HD$22,HE8)))</f>
        <v/>
      </c>
      <c r="HM8" s="36">
        <f t="shared" ref="HM8:HM22" si="92">IF(HE8="",$BK$2,(IF(HK8=$BH$2,$BK$2,HC8)))</f>
        <v>2</v>
      </c>
      <c r="HN8" s="36">
        <f t="shared" ref="HN8:HN22" si="93">SMALL($HM$7:$HM$22,HC8)</f>
        <v>2</v>
      </c>
      <c r="HO8" s="36">
        <f t="shared" si="9"/>
        <v>3</v>
      </c>
      <c r="HQ8" s="36">
        <f t="shared" ref="HQ8:HQ23" si="94">VALUE(IF(HN8=HN9,1,0))</f>
        <v>0</v>
      </c>
      <c r="HR8" s="36">
        <f t="shared" ref="HR8:HR22" si="95">IF(HQ8=HQ9,0,1)</f>
        <v>1</v>
      </c>
      <c r="HS8" s="36">
        <f>IF(HR7=0,(IF($HQ$6=1,HO7,HO8)),"")</f>
        <v>3</v>
      </c>
      <c r="HT8" s="36">
        <f t="shared" ref="HT8:HT24" si="96">IF(HS8="",0,1)</f>
        <v>1</v>
      </c>
      <c r="HU8" s="149" t="str">
        <f t="shared" ref="HU8:HU22" si="97">IF((HR8*$HT$6)=1,$HS$6,"")</f>
        <v/>
      </c>
      <c r="HV8" s="138"/>
      <c r="HW8" s="36" t="str">
        <f t="shared" ref="HW8:HW22" si="98">IF(AS8="","",AS8)</f>
        <v/>
      </c>
      <c r="HX8" s="36" t="str">
        <f t="shared" ref="HX8:HX22" si="99">IF(HS8="","",(INDEX($GD$7:$GD$22,$HS8)))</f>
        <v>VL</v>
      </c>
      <c r="HY8" s="36">
        <f t="shared" ref="HY8:HY22" si="100">IF(HS8="","",(INDEX($GE$7:$GE$22,$HS8)))</f>
        <v>1</v>
      </c>
      <c r="HZ8" s="36">
        <f t="shared" ref="HZ8:HZ22" si="101">IF(HS8="","",(INDEX($GF$7:$GF$22,$HS8)))</f>
        <v>2</v>
      </c>
      <c r="IA8" s="36" t="str">
        <f t="shared" ref="IA8:IA22" si="102">IF(HS8="","",(INDEX($GG$7:$GG$22,$HS8)))</f>
        <v/>
      </c>
      <c r="IC8" s="36" t="str">
        <f>IF(HS8="","",(IF(HW8=HS8,$IC$6,"")))</f>
        <v/>
      </c>
      <c r="ID8" s="36" t="str">
        <f t="shared" ref="ID8:ID14" si="103">(IF(HW8="","",(IF(HW8=HX8,$ID$6,IF(HW8=HY8,$ID$6,IF(HW8=HZ8,$ID$6,IF(HW8=IA8,$ID$6,"")))))))</f>
        <v/>
      </c>
      <c r="IE8" s="36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36">
        <f t="shared" ref="IF8:IF14" si="105">IF(HS8="","",(IF(HW8="",0,(IF(HW8=$HS$7,1,IF(HW8=$HS$8,1,IF(HW8=$HS$9,1,IF(HW8=$HS$10,1,IF(HW8=$HS$11,1,IF(HW8=$HS$12,1,IF(HW8=$HS$13,1,IF(HW8=$HS$14,1,0)*0)))))))))))</f>
        <v>0</v>
      </c>
      <c r="IG8" s="36" t="str">
        <f t="shared" ref="IG8:IG15" si="106">IF(HW8="","",(IF(IF8=0,$IF$6,"")))</f>
        <v/>
      </c>
      <c r="IH8" s="149" t="str">
        <f t="shared" ref="IH8:IH17" si="107">IF(IC8="",IF(ID8="",IF(IG8="",IF(IE8="","",IE8),IG8),ID8),IC8)</f>
        <v/>
      </c>
      <c r="II8" s="138"/>
      <c r="IJ8" s="36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36" t="str">
        <f t="shared" ref="IL8:IL18" si="109">IF(HU8="",IF(HW8="",IF(IJ8="","",IJ8),HW8),HU8)</f>
        <v/>
      </c>
      <c r="IM8" s="36">
        <f t="shared" ref="IM8:IM15" si="110">HS8</f>
        <v>3</v>
      </c>
      <c r="IN8" s="36" t="str">
        <f t="shared" ref="IN8:IN22" si="111">IF(HC8=$IM$7,$IL$7,IF(HC8=$IM$8,$IL$8,IF(HC8=$IM$9,$IL$9,IF(HC8=$IM$10,$IL$10,IF(HC8=$IM$11,$IL$11,IF(HC8=$IM$12,$IL$12,IF(HC8=$IM$13,$IL$13,IF(HC8=$IM$14,$IL$14,""))))))))</f>
        <v/>
      </c>
      <c r="IQ8" s="152"/>
      <c r="IR8" s="122">
        <v>2</v>
      </c>
      <c r="IS8" s="36" t="str">
        <f>IF(SUM($BH9:$BL9)&gt;1,$BH$2,"")</f>
        <v>xxx</v>
      </c>
      <c r="IT8" s="36">
        <f t="shared" ref="IT8:IT22" si="112">HS8</f>
        <v>3</v>
      </c>
      <c r="IU8" s="36" t="str">
        <f t="shared" ref="IU8:IU22" si="113">IF(IT8="","",(INDEX($GD$7:$GD$22,IT8)))</f>
        <v>VL</v>
      </c>
      <c r="IV8" s="36">
        <f t="shared" ref="IV8:IV22" si="114">IF($IT8="","",(INDEX($GE$7:$GE$22,$IT8)))</f>
        <v>1</v>
      </c>
      <c r="IW8" s="36">
        <f t="shared" ref="IW8:IW22" si="115">IF($IT8="","",(INDEX($GF$7:$GF$22,$IT8)))</f>
        <v>2</v>
      </c>
      <c r="IX8" s="36" t="str">
        <f t="shared" ref="IX8:IX22" si="116">IF($IT8="","",(INDEX($GG$7:$GG$22,$IT8)))</f>
        <v/>
      </c>
      <c r="IY8" s="36" t="str">
        <f t="shared" ref="IY8:IY22" si="117">IF($IT8="","",(INDEX($GH$7:$GH$22,$IT8)))</f>
        <v/>
      </c>
      <c r="IZ8" s="36" t="str">
        <f t="shared" ref="IZ8:IZ22" si="118">IF($IT8="","",(INDEX($IS$7:$IS$22,$IT8)))</f>
        <v/>
      </c>
      <c r="JB8" s="36">
        <f t="shared" ref="JB8:JB22" si="119">IF(IT8="",$BK$2,(IF(IZ8=$BH$2,$BK$2,IR8)))</f>
        <v>2</v>
      </c>
      <c r="JC8" s="36">
        <f t="shared" ref="JC8:JC22" si="120">SMALL($JB$7:$JB$22,IR8)</f>
        <v>2</v>
      </c>
      <c r="JD8" s="36">
        <f t="shared" si="10"/>
        <v>3</v>
      </c>
      <c r="JF8" s="36">
        <f t="shared" ref="JF8:JF21" si="121">VALUE(IF(JC8=JC9,1,0))</f>
        <v>0</v>
      </c>
      <c r="JG8" s="36">
        <f t="shared" ref="JG8:JG21" si="122">IF(JF8=JF9,0,1)</f>
        <v>1</v>
      </c>
      <c r="JH8" s="36">
        <f>IF(JG7=0,(IF($JF$6=1,JD7,JD8)),"")</f>
        <v>3</v>
      </c>
      <c r="JI8" s="36">
        <f t="shared" ref="JI8:JI22" si="123">IF(JH8="",0,1)</f>
        <v>1</v>
      </c>
      <c r="JJ8" s="149" t="str">
        <f t="shared" ref="JJ8:JJ22" si="124">IF((JG8*$JI$6)=1,$HS$6,"")</f>
        <v/>
      </c>
      <c r="JL8" s="36" t="str">
        <f>IF(AX8="","",AX8)</f>
        <v/>
      </c>
      <c r="JM8" s="36" t="str">
        <f t="shared" ref="JM8:JM19" si="125">IF(JH8="","",(INDEX($GD$7:$GD$22,$JH8)))</f>
        <v>VL</v>
      </c>
      <c r="JN8" s="36">
        <f t="shared" ref="JN8:JN19" si="126">IF(JH8="","",(INDEX($GE$7:$GE$22,$JH8)))</f>
        <v>1</v>
      </c>
      <c r="JO8" s="36">
        <f t="shared" ref="JO8:JO19" si="127">IF(JH8="","",(INDEX($GF$7:$GF$22,$JH8)))</f>
        <v>2</v>
      </c>
      <c r="JP8" s="36" t="str">
        <f t="shared" ref="JP8:JP19" si="128">IF(JH8="","",(INDEX($GG$7:$GG$22,$JH8)))</f>
        <v/>
      </c>
      <c r="JQ8" s="36" t="str">
        <f t="shared" ref="JQ8:JQ19" si="129">IF(JH8="","",(INDEX($GH$7:$GH$22,$JH8)))</f>
        <v/>
      </c>
      <c r="JS8" s="36" t="str">
        <f t="shared" ref="JS8:JS24" si="130">IF(JH8="","",(IF(JL8=JH8,$JS$6,"")))</f>
        <v/>
      </c>
      <c r="JT8" s="36" t="str">
        <f>IF(JH8="","",(IF(JL8=JM8,$ID$6,IF(JL8=JN8,$ID$6,IF(JL8=JO8,$ID$6,IF(JL8=JP8,$ID$6,IF(JL8=JQ8,$ID$6,"")))))))</f>
        <v>chyba</v>
      </c>
      <c r="JU8" s="36" t="str">
        <f t="shared" si="11"/>
        <v/>
      </c>
      <c r="JV8" s="36">
        <f>IF(JH8="","",(IF(JL8="",0,(IF(JL8=$JH$7,1,IF(JL8=$JH$8,1,IF(JL8=$JH$9,1,IF(JL8=$JH$10,1,IF(JL8=$JH$11,1,IF(JL8=$JH$12,1,IF(JL8=$JH$13,1,IF(JL8=$JH$14,1,0)*0)))))))))))</f>
        <v>0</v>
      </c>
      <c r="JW8" s="36" t="str">
        <f t="shared" ref="JW8:JW16" si="131">IF(JL8="","",(IF(JV8=0,$JV$6,"")))</f>
        <v/>
      </c>
      <c r="JX8" s="149" t="str">
        <f t="shared" ref="JX8:JX21" si="132">IF(JS8="",IF(JT8="",IF(JW8="",IF(JU8="","",JU8),JW8),JT8),JS8)</f>
        <v>chyba</v>
      </c>
      <c r="JY8" s="138"/>
      <c r="JZ8" s="36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36" t="str">
        <f t="shared" ref="KB8:KB21" si="134">IF(JJ8="",IF(JL8="",IF(JZ8="","",JZ8),JL8),JJ8)</f>
        <v/>
      </c>
      <c r="KC8" s="36">
        <f t="shared" ref="KC8:KC22" si="135">JH8</f>
        <v>3</v>
      </c>
      <c r="KD8" s="36" t="str">
        <f t="shared" ref="KD8:KD22" si="136">IF(IR8=$KC$7,$KB$7,IF(IR8=$KC$8,$KB$8,IF(IR8=$KC$9,$KB$9,IF(IR8=$KC$10,$KB$10,IF(IR8=$KC$11,$KB$11,IF(IR8=$KC$12,$KB$12,IF(IR8=$KC$13,$KB$13,IF(IR8=$KC$14,$KB$14,""))))))))</f>
        <v/>
      </c>
      <c r="KG8" s="152"/>
      <c r="KH8" s="122">
        <v>2</v>
      </c>
      <c r="KI8" t="str">
        <f>IF(SUM($BH9:$BM9)&gt;1,$BH$2,"")</f>
        <v>xxx</v>
      </c>
      <c r="KJ8" s="36">
        <f t="shared" ref="KJ8:KJ22" si="137">JH8</f>
        <v>3</v>
      </c>
      <c r="KK8" s="36" t="str">
        <f t="shared" ref="KK8:KK22" si="138">IF(KJ8="","",(INDEX($GD$7:$GD$22,KJ8)))</f>
        <v>VL</v>
      </c>
      <c r="KL8" s="36">
        <f t="shared" ref="KL8:KL22" si="139">IF($KJ8="","",(INDEX($GE$7:$GE$22,$KJ8)))</f>
        <v>1</v>
      </c>
      <c r="KM8" s="36">
        <f t="shared" ref="KM8:KM22" si="140">IF($KJ8="","",(INDEX($GF$7:$GF$22,$KJ8)))</f>
        <v>2</v>
      </c>
      <c r="KN8" s="36" t="str">
        <f t="shared" ref="KN8:KN22" si="141">IF($KJ8="","",(INDEX($GG$7:$GG$22,$KJ8)))</f>
        <v/>
      </c>
      <c r="KO8" s="36" t="str">
        <f t="shared" ref="KO8:KO22" si="142">IF($KJ8="","",(INDEX($GH$7:$GH$22,$KJ8)))</f>
        <v/>
      </c>
      <c r="KP8" s="36" t="str">
        <f t="shared" ref="KP8:KP22" si="143">IF($KJ8="","",(INDEX($GI$7:$GI$22,$KJ8)))</f>
        <v/>
      </c>
      <c r="KQ8" s="36" t="str">
        <f t="shared" ref="KQ8:KQ22" si="144">IF($KJ8="","",(INDEX($KI$7:$KI$22,$KJ8)))</f>
        <v/>
      </c>
      <c r="KS8" s="36">
        <f t="shared" ref="KS8:KS22" si="145">IF(KJ8="",$BK$2,(IF(KQ8=$BH$2,$BK$2,KH8)))</f>
        <v>2</v>
      </c>
      <c r="KT8" s="36">
        <f t="shared" ref="KT8:KT22" si="146">SMALL($KS$7:$KS$22,KH8)</f>
        <v>2</v>
      </c>
      <c r="KU8" s="36">
        <f t="shared" si="12"/>
        <v>3</v>
      </c>
      <c r="KW8" s="36">
        <f t="shared" ref="KW8:KW21" si="147">VALUE(IF(KT8=KT9,1,0))</f>
        <v>0</v>
      </c>
      <c r="KX8" s="36">
        <f t="shared" ref="KX8:KX20" si="148">IF(KW8=KW9,0,1)</f>
        <v>1</v>
      </c>
      <c r="KY8" s="36">
        <f>IF(KX7=0,(IF($KW$6=1,KU7,KU8)),"")</f>
        <v>3</v>
      </c>
      <c r="KZ8" s="36">
        <f t="shared" ref="KZ8:KZ22" si="149">IF(KY8="",0,1)</f>
        <v>1</v>
      </c>
      <c r="LA8" s="149" t="str">
        <f t="shared" ref="LA8:LA22" si="150">IF((KX8*$KZ$6)=1,$HS$6,"")</f>
        <v/>
      </c>
      <c r="LC8" s="36" t="str">
        <f t="shared" ref="LC8:LC22" si="151">IF(BC8="","",BC8)</f>
        <v/>
      </c>
      <c r="LD8" s="36" t="str">
        <f t="shared" ref="LD8:LD22" si="152">IF(KY8="","",(INDEX($GD$7:$GD$22,$KY8)))</f>
        <v>VL</v>
      </c>
      <c r="LE8" s="36">
        <f t="shared" ref="LE8:LE22" si="153">IF(KY8="","",(INDEX($GE$7:$GE$22,$KY8)))</f>
        <v>1</v>
      </c>
      <c r="LF8" s="36">
        <f t="shared" ref="LF8:LF22" si="154">IF(KY8="","",(INDEX($GF$7:$GF$22,$KY8)))</f>
        <v>2</v>
      </c>
      <c r="LG8" s="36" t="str">
        <f t="shared" ref="LG8:LG22" si="155">IF(KY8="","",(INDEX($GG$7:$GG$22,$KY8)))</f>
        <v/>
      </c>
      <c r="LH8" s="36" t="str">
        <f t="shared" ref="LH8:LH22" si="156">IF(KY8="","",(INDEX($GH$7:$GH$22,$KY8)))</f>
        <v/>
      </c>
      <c r="LI8" s="36" t="str">
        <f t="shared" ref="LI8:LI22" si="157">IF(KY8="","",(INDEX($GI$7:$GI$22,$KY8)))</f>
        <v/>
      </c>
      <c r="LJ8" s="36" t="str">
        <f t="shared" ref="LJ8:LJ22" si="158">IF(KY8="","",(IF(LC8=KY8,$LJ$6,"")))</f>
        <v/>
      </c>
      <c r="LK8" s="36" t="str">
        <f t="shared" ref="LK8:LK22" si="159">IF(KY8="","",(IF(LC8=LD8,$ID$6,IF(LC8=LE8,$ID$6,IF(LC8=LF8,$ID$6,IF(LC8=LG8,$ID$6,IF(LC8=LH8,$ID$6,IF(LC8=LI8,$ID$6,""))))))))</f>
        <v>chyba</v>
      </c>
      <c r="LL8" s="36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6">
        <f t="shared" ref="LM8:LM22" si="161">IF(KY8="","",(IF(LC8="",0,(IF(LC8=$KY$7,1,IF(LC8=$KY$8,1,IF(LC8=$KY$9,1,IF(LC8=$KY$10,1,IF(LC8=$KY$11,1,IF(LC8=$KY$12,1,IF(LC8=$KY$13,1,IF(LC8=$KY$14,1,0)*0)))))))))))</f>
        <v>0</v>
      </c>
      <c r="LN8" s="36" t="str">
        <f t="shared" ref="LN8:LN22" si="162">IF(LC8="","",(IF(LM8=0,$LM$6,"")))</f>
        <v/>
      </c>
      <c r="LO8" s="149" t="str">
        <f t="shared" ref="LO8:LO22" si="163">IF(LJ8="",IF(LK8="",IF(LN8="",IF(LL8="","",LL8),LN8),LK8),LJ8)</f>
        <v>chyba</v>
      </c>
      <c r="LP8" s="138"/>
      <c r="LQ8" s="36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6" t="str">
        <f t="shared" ref="LS8:LS22" si="165">IF(LA8="",IF(LC8="",IF(LQ8="","",LQ8),LC8),LA8)</f>
        <v/>
      </c>
      <c r="LT8" s="36">
        <f t="shared" ref="LT8:LT22" si="166">KY8</f>
        <v>3</v>
      </c>
      <c r="LU8" s="36" t="str">
        <f t="shared" ref="LU8:LU22" si="167">IF(KH8=$KC$7,$LS$7,IF(KH8=$KC$8,$LS$8,IF(KH8=$KC$9,$LS$9,IF(KH8=$KC$10,$LS$10,IF(KH8=$KC$11,$LS$11,IF(KH8=$KC$12,$LS$12,IF(KH8=$KC$13,$LS$13,IF(KH8=$KC$14,$LS$14,""))))))))</f>
        <v/>
      </c>
      <c r="LX8" s="152"/>
    </row>
    <row r="9" spans="1:336" ht="14.25" customHeight="1" thickBot="1" x14ac:dyDescent="0.3">
      <c r="A9" s="364" t="str">
        <f>'Vážní listina'!HQ9</f>
        <v xml:space="preserve">Jabłońska Natasza </v>
      </c>
      <c r="B9" s="359" t="str">
        <f>'Vážní listina'!HR9</f>
        <v>ULSK</v>
      </c>
      <c r="C9" s="363" t="str">
        <f>IF(BP9="","",(IF(BP9&gt;1,$BH$2,"")))</f>
        <v>xxx</v>
      </c>
      <c r="D9" s="361">
        <f>'Vážní listina'!HK9</f>
        <v>2</v>
      </c>
      <c r="E9" s="343">
        <f>'Vážní listina'!HL9</f>
        <v>1</v>
      </c>
      <c r="F9" s="26">
        <v>0</v>
      </c>
      <c r="G9" s="32"/>
      <c r="H9" s="334" t="str">
        <f>IF(H5="","",'Vážní listina'!HM9)</f>
        <v>VL</v>
      </c>
      <c r="I9" s="26"/>
      <c r="J9" s="32"/>
      <c r="K9" s="334">
        <f>IF(K5="","",DV9)</f>
        <v>3</v>
      </c>
      <c r="L9" s="26">
        <v>0</v>
      </c>
      <c r="M9" s="32"/>
      <c r="N9" s="334" t="str">
        <f>IF(N5="","",FZ9)</f>
        <v/>
      </c>
      <c r="O9" s="26"/>
      <c r="P9" s="32"/>
      <c r="Q9" s="334" t="str">
        <f>IF(Q5="","",IP9)</f>
        <v/>
      </c>
      <c r="R9" s="26"/>
      <c r="S9" s="32"/>
      <c r="T9" s="334" t="str">
        <f>IF(T5="","",KF9)</f>
        <v/>
      </c>
      <c r="U9" s="26"/>
      <c r="V9" s="32"/>
      <c r="W9" s="337" t="str">
        <f>IF(W5="","",LW9)</f>
        <v/>
      </c>
      <c r="X9" s="26"/>
      <c r="Y9" s="32"/>
      <c r="Z9" s="338">
        <f>IF(A9="","",(F9+I9+L9+O9+R9+U9+X9))</f>
        <v>0</v>
      </c>
      <c r="AA9" s="335">
        <f>IF(A9="","",(F10+I10+L10+O10+R10+U10+X10))</f>
        <v>0</v>
      </c>
      <c r="AB9" s="336">
        <f>IF(A9="","",(G9+J9+M9+P9+S9+V9+Y9))</f>
        <v>0</v>
      </c>
      <c r="AC9" s="356" t="str">
        <f>HF82</f>
        <v>F</v>
      </c>
      <c r="AD9" s="328"/>
      <c r="AE9" s="328">
        <f>IF(D9="","",(IF('Tabulka finále'!$BK$47=1,(IF('Tabulka finále'!$K$56="","",(IF($AC$5="","",(IF($H$5="","",(FW120))))))),"")))</f>
        <v>6</v>
      </c>
      <c r="AG9" s="252">
        <v>3</v>
      </c>
      <c r="AH9" s="138">
        <f t="shared" si="13"/>
        <v>1</v>
      </c>
      <c r="AI9" s="177"/>
      <c r="AJ9" s="36" t="str">
        <f t="shared" si="14"/>
        <v>VL</v>
      </c>
      <c r="AK9" s="149" t="str">
        <f t="shared" si="15"/>
        <v/>
      </c>
      <c r="AM9" s="138" t="str">
        <f t="shared" si="16"/>
        <v/>
      </c>
      <c r="AN9" s="177"/>
      <c r="AO9" s="36" t="str">
        <f t="shared" si="3"/>
        <v/>
      </c>
      <c r="AP9" s="149" t="str">
        <f t="shared" si="17"/>
        <v/>
      </c>
      <c r="AR9" s="138" t="str">
        <f t="shared" si="18"/>
        <v/>
      </c>
      <c r="AS9" s="177"/>
      <c r="AT9" s="36" t="str">
        <f>IF($Q$5="","",(IL9))</f>
        <v/>
      </c>
      <c r="AU9" s="149" t="str">
        <f>IF(AS7="","",(IF($Q$5="","",(IH9))))</f>
        <v/>
      </c>
      <c r="AW9" s="138" t="str">
        <f t="shared" si="4"/>
        <v/>
      </c>
      <c r="AX9" s="177"/>
      <c r="AY9" s="36" t="str">
        <f t="shared" si="20"/>
        <v/>
      </c>
      <c r="AZ9" s="149" t="str">
        <f t="shared" si="21"/>
        <v/>
      </c>
      <c r="BB9" s="138" t="str">
        <f t="shared" si="22"/>
        <v/>
      </c>
      <c r="BC9" s="177"/>
      <c r="BD9" s="36" t="str">
        <f t="shared" si="23"/>
        <v/>
      </c>
      <c r="BE9" s="149" t="str">
        <f t="shared" si="24"/>
        <v/>
      </c>
      <c r="BG9" s="36">
        <f>IF(A9="",0,1)</f>
        <v>1</v>
      </c>
      <c r="BH9" s="36">
        <f>(IF(E9="","",(IF(E9=$BQ$2,0,(IF(A9="","",(IF(F9="","",(IF(F9&lt;2,1,0))))))))))</f>
        <v>1</v>
      </c>
      <c r="BI9" s="36">
        <f>IF(H9=$BQ$2,0,(IF(A9="","",(IF(I9="","",(IF(I9&lt;2,1,0)))))))</f>
        <v>0</v>
      </c>
      <c r="BJ9" s="36">
        <f>IF(L9="","",(IF(L9&lt;2,1,0)))</f>
        <v>1</v>
      </c>
      <c r="BK9" s="36" t="str">
        <f>IF(O9="","",(IF(O9&lt;2,1,0)))</f>
        <v/>
      </c>
      <c r="BL9" s="36" t="str">
        <f>IF(R9="","",(IF(R9&lt;2,1,0)))</f>
        <v/>
      </c>
      <c r="BM9" s="36" t="str">
        <f>IF(U9="","",(IF(U9&lt;2,1,0)))</f>
        <v/>
      </c>
      <c r="BN9" s="36" t="str">
        <f>IF(X9="","",(IF(X9&lt;2,1,0)))</f>
        <v/>
      </c>
      <c r="BP9" s="36">
        <f>IF(BG9=0,"",(SUM(BH9:BN9)))</f>
        <v>2</v>
      </c>
      <c r="BR9" s="36">
        <f>BP11</f>
        <v>0</v>
      </c>
      <c r="BS9" s="36">
        <f>D11</f>
        <v>3</v>
      </c>
      <c r="BT9" s="36" t="str">
        <f>IF(SUM(BH11,BI11)=2,$BH$2,"")</f>
        <v/>
      </c>
      <c r="BV9" s="36">
        <f t="shared" si="5"/>
        <v>999</v>
      </c>
      <c r="BW9" s="36">
        <f t="shared" si="25"/>
        <v>999</v>
      </c>
      <c r="BX9" s="36">
        <f t="shared" ref="BX9:BX38" si="168">BX8+1</f>
        <v>3</v>
      </c>
      <c r="BY9" s="36">
        <f t="shared" si="26"/>
        <v>999</v>
      </c>
      <c r="CB9" s="122">
        <v>3</v>
      </c>
      <c r="CC9" s="36">
        <f>IF(D11="",0,D11)</f>
        <v>3</v>
      </c>
      <c r="CD9" s="36">
        <f t="shared" si="27"/>
        <v>1</v>
      </c>
      <c r="CE9" s="36">
        <f t="shared" si="28"/>
        <v>1</v>
      </c>
      <c r="CH9" s="36">
        <f t="shared" ref="CH9:CH22" si="169">IF(CC9=0,0,(IF($CF$6=0,CC9,CC8)))</f>
        <v>2</v>
      </c>
      <c r="CI9" s="36">
        <f t="shared" si="29"/>
        <v>1</v>
      </c>
      <c r="CJ9" s="36">
        <f t="shared" si="30"/>
        <v>1</v>
      </c>
      <c r="CM9" s="36">
        <f t="shared" ref="CM9:CM22" si="170">IF(CH9=0,0,(IF($CK$6=0,CH9,CH8)))</f>
        <v>1</v>
      </c>
      <c r="CO9" s="36">
        <f t="shared" si="31"/>
        <v>1</v>
      </c>
      <c r="CP9" s="36" t="str">
        <f t="shared" si="32"/>
        <v/>
      </c>
      <c r="CQ9" s="36">
        <f t="shared" si="33"/>
        <v>1</v>
      </c>
      <c r="CR9" s="36">
        <f t="shared" si="34"/>
        <v>3</v>
      </c>
      <c r="CS9" s="36">
        <f t="shared" si="35"/>
        <v>3</v>
      </c>
      <c r="CT9" s="36">
        <f t="shared" si="36"/>
        <v>1</v>
      </c>
      <c r="CU9" s="36">
        <f t="shared" si="37"/>
        <v>1</v>
      </c>
      <c r="CV9" s="36">
        <f t="shared" si="38"/>
        <v>1</v>
      </c>
      <c r="CW9" s="36">
        <f t="shared" si="39"/>
        <v>1</v>
      </c>
      <c r="CX9" s="149" t="str">
        <f t="shared" ref="CX9:CX22" si="171">IF(CW9=0,CU9,$BQ$2)</f>
        <v>VL</v>
      </c>
      <c r="DA9" s="36">
        <f>D11</f>
        <v>3</v>
      </c>
      <c r="DB9" s="36" t="str">
        <f>E11</f>
        <v>VL</v>
      </c>
      <c r="DC9" s="36">
        <f>H11</f>
        <v>1</v>
      </c>
      <c r="DD9" s="36" t="str">
        <f t="shared" si="40"/>
        <v>xxx</v>
      </c>
      <c r="DF9" s="36">
        <f t="shared" si="41"/>
        <v>1</v>
      </c>
      <c r="DG9" s="36">
        <f t="shared" si="42"/>
        <v>2</v>
      </c>
      <c r="DH9" s="36">
        <f t="shared" si="43"/>
        <v>3</v>
      </c>
      <c r="DI9" s="36" t="str">
        <f t="shared" si="6"/>
        <v/>
      </c>
      <c r="DJ9" s="36" t="str">
        <f t="shared" si="44"/>
        <v/>
      </c>
      <c r="DL9" s="36" t="str">
        <f t="shared" si="7"/>
        <v/>
      </c>
      <c r="DM9" s="149" t="str">
        <f t="shared" si="45"/>
        <v/>
      </c>
      <c r="DN9" s="36">
        <f t="shared" si="46"/>
        <v>3</v>
      </c>
      <c r="DO9" s="36">
        <f t="shared" si="47"/>
        <v>1</v>
      </c>
      <c r="DP9" s="36" t="str">
        <f t="shared" si="48"/>
        <v>VL</v>
      </c>
      <c r="DR9" s="36">
        <f t="shared" si="49"/>
        <v>2</v>
      </c>
      <c r="DS9" s="36" t="str">
        <f t="shared" si="50"/>
        <v/>
      </c>
      <c r="DT9" s="36">
        <f t="shared" si="51"/>
        <v>2</v>
      </c>
      <c r="DV9" s="36">
        <f>DT8</f>
        <v>3</v>
      </c>
      <c r="DX9" s="152">
        <f t="shared" si="52"/>
        <v>1</v>
      </c>
      <c r="DY9" s="36" t="str">
        <f t="shared" si="53"/>
        <v/>
      </c>
      <c r="DZ9" s="36" t="str">
        <f t="shared" si="54"/>
        <v/>
      </c>
      <c r="EA9" s="36" t="str">
        <f t="shared" si="55"/>
        <v/>
      </c>
      <c r="EB9" s="173" t="str">
        <f t="shared" si="56"/>
        <v/>
      </c>
      <c r="ED9" s="122">
        <v>3</v>
      </c>
      <c r="EE9" s="36">
        <f t="shared" si="57"/>
        <v>1</v>
      </c>
      <c r="EF9" s="36">
        <f t="shared" si="58"/>
        <v>1</v>
      </c>
      <c r="EG9" s="36" t="str">
        <f>IF(SUM($BH11:$BJ11)=2,$BH$2,"")</f>
        <v/>
      </c>
      <c r="EH9" s="36" t="str">
        <f t="shared" si="59"/>
        <v/>
      </c>
      <c r="EJ9" s="36">
        <f t="shared" si="60"/>
        <v>3</v>
      </c>
      <c r="EK9" s="36">
        <f t="shared" si="61"/>
        <v>999</v>
      </c>
      <c r="EL9" s="36" t="str">
        <f t="shared" si="62"/>
        <v/>
      </c>
      <c r="EM9" s="36">
        <f t="shared" si="63"/>
        <v>1</v>
      </c>
      <c r="EN9" s="36">
        <f t="shared" si="64"/>
        <v>0</v>
      </c>
      <c r="EQ9" s="36" t="str">
        <f t="shared" ref="EQ9:EQ22" si="172">IF(EL9="","",(IF($CV$6=0,EL9,EL8)))</f>
        <v/>
      </c>
      <c r="ER9" s="36">
        <f t="shared" si="65"/>
        <v>0</v>
      </c>
      <c r="ES9" s="36">
        <f t="shared" si="66"/>
        <v>0</v>
      </c>
      <c r="ET9" s="149" t="str">
        <f t="shared" si="67"/>
        <v/>
      </c>
      <c r="EV9" s="36">
        <f>D11</f>
        <v>3</v>
      </c>
      <c r="EW9" s="36" t="str">
        <f>E11</f>
        <v>VL</v>
      </c>
      <c r="EX9" s="36">
        <f>H11</f>
        <v>1</v>
      </c>
      <c r="EY9" s="36">
        <f>K11</f>
        <v>2</v>
      </c>
      <c r="EZ9" s="36" t="str">
        <f t="shared" si="68"/>
        <v/>
      </c>
      <c r="FB9" s="36" t="str">
        <f t="shared" si="69"/>
        <v/>
      </c>
      <c r="FC9" s="36" t="str">
        <f t="shared" si="70"/>
        <v/>
      </c>
      <c r="FD9" s="36" t="str">
        <f t="shared" si="71"/>
        <v/>
      </c>
      <c r="FE9" s="36" t="str">
        <f t="shared" si="72"/>
        <v/>
      </c>
      <c r="FF9" s="36" t="str">
        <f t="shared" si="73"/>
        <v/>
      </c>
      <c r="FG9" s="36" t="str">
        <f t="shared" si="74"/>
        <v/>
      </c>
      <c r="FI9" s="36" t="str">
        <f t="shared" si="75"/>
        <v/>
      </c>
      <c r="FJ9" s="36" t="str">
        <f t="shared" si="76"/>
        <v/>
      </c>
      <c r="FL9" s="36" t="str">
        <f t="shared" si="77"/>
        <v/>
      </c>
      <c r="FM9" s="36" t="str">
        <f t="shared" si="78"/>
        <v/>
      </c>
      <c r="FN9" s="36" t="str">
        <f t="shared" si="79"/>
        <v/>
      </c>
      <c r="FO9" s="36" t="str">
        <f t="shared" si="80"/>
        <v/>
      </c>
      <c r="FP9" s="36" t="str">
        <f t="shared" si="81"/>
        <v/>
      </c>
      <c r="FQ9" s="36" t="str">
        <f t="shared" si="82"/>
        <v/>
      </c>
      <c r="FR9" s="173" t="str">
        <f t="shared" si="8"/>
        <v/>
      </c>
      <c r="FT9" s="36">
        <v>3</v>
      </c>
      <c r="FV9" s="36" t="str">
        <f t="shared" si="83"/>
        <v/>
      </c>
      <c r="FW9" s="36" t="str">
        <f t="shared" si="84"/>
        <v/>
      </c>
      <c r="FX9" s="36" t="str">
        <f t="shared" si="85"/>
        <v/>
      </c>
      <c r="FZ9" s="36" t="str">
        <f>FX8</f>
        <v/>
      </c>
      <c r="GA9" s="152"/>
      <c r="GB9" s="122">
        <v>3</v>
      </c>
      <c r="GC9" s="36">
        <f>IF(D11="","",D11)</f>
        <v>3</v>
      </c>
      <c r="GD9" s="36" t="str">
        <f>IF(E11="","",E11)</f>
        <v>VL</v>
      </c>
      <c r="GE9" s="36">
        <f>IF(H11="","",H11)</f>
        <v>1</v>
      </c>
      <c r="GF9" s="36">
        <f>IF(K11="","",K11)</f>
        <v>2</v>
      </c>
      <c r="GG9" s="36" t="str">
        <f>IF(N11="","",N11)</f>
        <v/>
      </c>
      <c r="GH9" s="36" t="str">
        <f>IF(Q11="","",Q11)</f>
        <v/>
      </c>
      <c r="GI9" s="36" t="str">
        <f>IF(T11="","",T11)</f>
        <v/>
      </c>
      <c r="GJ9" s="36" t="str">
        <f>IF(W11="","",W11)</f>
        <v/>
      </c>
      <c r="GK9" s="36" t="str">
        <f>IF(C11="","",C11)</f>
        <v/>
      </c>
      <c r="GM9" s="36" t="str">
        <f>IF(F11="","",F11)</f>
        <v/>
      </c>
      <c r="GN9" s="36">
        <f>IF(I11="","",I11)</f>
        <v>5</v>
      </c>
      <c r="GO9" s="36">
        <f>IF(L11="","",L11)</f>
        <v>5</v>
      </c>
      <c r="GP9" s="36" t="str">
        <f>IF(O11="","",O11)</f>
        <v/>
      </c>
      <c r="GQ9" s="36" t="str">
        <f>IF(R11="","",R11)</f>
        <v/>
      </c>
      <c r="GR9" s="36" t="str">
        <f>IF(U11="","",U11)</f>
        <v/>
      </c>
      <c r="GS9" s="36" t="str">
        <f>IF(X11="","",X11)</f>
        <v/>
      </c>
      <c r="GU9" s="36" t="str">
        <f>IF(F12="","",F12)</f>
        <v/>
      </c>
      <c r="GV9" s="36">
        <f>IF(I12="","",I12)</f>
        <v>4</v>
      </c>
      <c r="GW9" s="36">
        <f>IF(L12="","",L12)</f>
        <v>4</v>
      </c>
      <c r="GX9" s="36" t="str">
        <f>IF(O12="","",O12)</f>
        <v/>
      </c>
      <c r="GY9" s="36" t="str">
        <f>IF(R12="","",R12)</f>
        <v/>
      </c>
      <c r="GZ9" s="36" t="str">
        <f>IF(U12="","",U12)</f>
        <v/>
      </c>
      <c r="HA9" s="36" t="str">
        <f>IF(X12="","",X12)</f>
        <v/>
      </c>
      <c r="HB9" s="152"/>
      <c r="HC9" s="122">
        <v>3</v>
      </c>
      <c r="HD9" s="36" t="str">
        <f>IF(SUM($BH11:$BK11)&gt;=2,$BH$2,"")</f>
        <v/>
      </c>
      <c r="HE9" s="36" t="str">
        <f t="shared" si="86"/>
        <v/>
      </c>
      <c r="HF9" s="36" t="str">
        <f t="shared" si="87"/>
        <v/>
      </c>
      <c r="HG9" s="36" t="str">
        <f t="shared" si="88"/>
        <v/>
      </c>
      <c r="HH9" s="36" t="str">
        <f t="shared" si="89"/>
        <v/>
      </c>
      <c r="HI9" s="36" t="str">
        <f t="shared" si="90"/>
        <v/>
      </c>
      <c r="HK9" s="36" t="str">
        <f t="shared" si="91"/>
        <v/>
      </c>
      <c r="HM9" s="36">
        <f t="shared" si="92"/>
        <v>999</v>
      </c>
      <c r="HN9" s="36">
        <f t="shared" si="93"/>
        <v>999</v>
      </c>
      <c r="HO9" s="36" t="str">
        <f t="shared" si="9"/>
        <v/>
      </c>
      <c r="HQ9" s="36">
        <f t="shared" si="94"/>
        <v>1</v>
      </c>
      <c r="HR9" s="36">
        <f t="shared" si="95"/>
        <v>0</v>
      </c>
      <c r="HS9" s="36" t="str">
        <f t="shared" ref="HS9:HS22" si="173">IF(HR8=0,(IF($HQ$6=1,HO8,HO9)),"")</f>
        <v/>
      </c>
      <c r="HT9" s="36">
        <f t="shared" si="96"/>
        <v>0</v>
      </c>
      <c r="HU9" s="149" t="str">
        <f t="shared" si="97"/>
        <v/>
      </c>
      <c r="HV9" s="138"/>
      <c r="HW9" s="36" t="str">
        <f t="shared" si="98"/>
        <v/>
      </c>
      <c r="HX9" s="36" t="str">
        <f t="shared" si="99"/>
        <v/>
      </c>
      <c r="HY9" s="36" t="str">
        <f t="shared" si="100"/>
        <v/>
      </c>
      <c r="HZ9" s="36" t="str">
        <f t="shared" si="101"/>
        <v/>
      </c>
      <c r="IA9" s="36" t="str">
        <f t="shared" si="102"/>
        <v/>
      </c>
      <c r="IC9" s="36" t="str">
        <f t="shared" ref="IC9:IC22" si="174">IF(HS9="","",(IF(HW9=HS9,$IC$6,"")))</f>
        <v/>
      </c>
      <c r="ID9" s="36" t="str">
        <f t="shared" si="103"/>
        <v/>
      </c>
      <c r="IE9" s="36" t="str">
        <f t="shared" si="104"/>
        <v/>
      </c>
      <c r="IF9" s="36" t="str">
        <f t="shared" si="105"/>
        <v/>
      </c>
      <c r="IG9" s="36" t="str">
        <f>IF(HW9="","",(IF(IF9=0,$IF$6,"")))</f>
        <v/>
      </c>
      <c r="IH9" s="149" t="str">
        <f t="shared" si="107"/>
        <v/>
      </c>
      <c r="II9" s="138"/>
      <c r="IJ9" s="36" t="str">
        <f t="shared" si="108"/>
        <v/>
      </c>
      <c r="IL9" s="36" t="str">
        <f t="shared" si="109"/>
        <v/>
      </c>
      <c r="IM9" s="36" t="str">
        <f t="shared" si="110"/>
        <v/>
      </c>
      <c r="IN9" s="36" t="str">
        <f t="shared" si="111"/>
        <v/>
      </c>
      <c r="IP9" s="36" t="str">
        <f>IN8</f>
        <v/>
      </c>
      <c r="IQ9" s="152"/>
      <c r="IR9" s="122">
        <v>3</v>
      </c>
      <c r="IS9" s="36" t="str">
        <f>IF(SUM($BH11:$BL11)&gt;1,$BH$2,"")</f>
        <v/>
      </c>
      <c r="IT9" s="36" t="str">
        <f t="shared" si="112"/>
        <v/>
      </c>
      <c r="IU9" s="36" t="str">
        <f t="shared" si="113"/>
        <v/>
      </c>
      <c r="IV9" s="36" t="str">
        <f t="shared" si="114"/>
        <v/>
      </c>
      <c r="IW9" s="36" t="str">
        <f t="shared" si="115"/>
        <v/>
      </c>
      <c r="IX9" s="36" t="str">
        <f t="shared" si="116"/>
        <v/>
      </c>
      <c r="IY9" s="36" t="str">
        <f t="shared" si="117"/>
        <v/>
      </c>
      <c r="IZ9" s="36" t="str">
        <f t="shared" si="118"/>
        <v/>
      </c>
      <c r="JB9" s="36">
        <f t="shared" si="119"/>
        <v>999</v>
      </c>
      <c r="JC9" s="36">
        <f t="shared" si="120"/>
        <v>999</v>
      </c>
      <c r="JD9" s="36" t="str">
        <f t="shared" si="10"/>
        <v/>
      </c>
      <c r="JF9" s="36">
        <f t="shared" si="121"/>
        <v>1</v>
      </c>
      <c r="JG9" s="36">
        <f t="shared" si="122"/>
        <v>0</v>
      </c>
      <c r="JH9" s="36" t="str">
        <f t="shared" ref="JH9:JH22" si="175">IF(JG8=0,(IF($JF$6=1,JD8,JD9)),"")</f>
        <v/>
      </c>
      <c r="JI9" s="36">
        <f t="shared" si="123"/>
        <v>0</v>
      </c>
      <c r="JJ9" s="149" t="str">
        <f>IF(AX9="",(IF((JG9*$JI$6)=1,$HS$6,"")),AX9)</f>
        <v/>
      </c>
      <c r="JL9" s="36" t="str">
        <f t="shared" ref="JL9:JL14" si="176">IF(AX9="","",AX9)</f>
        <v/>
      </c>
      <c r="JM9" s="36" t="str">
        <f t="shared" si="125"/>
        <v/>
      </c>
      <c r="JN9" s="36" t="str">
        <f t="shared" si="126"/>
        <v/>
      </c>
      <c r="JO9" s="36" t="str">
        <f t="shared" si="127"/>
        <v/>
      </c>
      <c r="JP9" s="36" t="str">
        <f t="shared" si="128"/>
        <v/>
      </c>
      <c r="JQ9" s="36" t="str">
        <f t="shared" si="129"/>
        <v/>
      </c>
      <c r="JS9" s="36" t="str">
        <f t="shared" si="130"/>
        <v/>
      </c>
      <c r="JT9" s="36" t="str">
        <f t="shared" ref="JT9:JT17" si="177">IF(JH9="","",(IF(JL9=JM9,$ID$6,IF(JL9=JN9,$ID$6,IF(JL9=JO9,$ID$6,IF(JL9=JP9,$ID$6,IF(JL9=JQ9,$ID$6,"")))))))</f>
        <v/>
      </c>
      <c r="JU9" s="36" t="str">
        <f t="shared" si="11"/>
        <v/>
      </c>
      <c r="JV9" s="36" t="str">
        <f>IF(JH9="","",(IF(JL9="",0,(IF(JL9=$JH$7,1,IF(JL9=$JH$8,1,IF(JL9=$JH$9,1,IF(JL9=$JH$10,1,IF(JL9=$JH$11,1,IF(JL9=$JH$12,1,IF(JL9=$JH$13,1,IF(JL9=$JH$14,1,0)*0)))))))))))</f>
        <v/>
      </c>
      <c r="JW9" s="36" t="str">
        <f t="shared" si="131"/>
        <v/>
      </c>
      <c r="JX9" s="149" t="str">
        <f t="shared" si="132"/>
        <v/>
      </c>
      <c r="JY9" s="138"/>
      <c r="JZ9" s="36" t="str">
        <f t="shared" si="133"/>
        <v/>
      </c>
      <c r="KB9" s="36" t="str">
        <f>IF(JJ9="",IF(JL9="",IF(JZ9="","",JZ9),JL9),JJ9)</f>
        <v/>
      </c>
      <c r="KC9" s="36" t="str">
        <f t="shared" si="135"/>
        <v/>
      </c>
      <c r="KD9" s="36" t="str">
        <f t="shared" si="136"/>
        <v/>
      </c>
      <c r="KF9" s="36" t="str">
        <f>KD8</f>
        <v/>
      </c>
      <c r="KG9" s="152"/>
      <c r="KH9" s="122">
        <v>3</v>
      </c>
      <c r="KI9" t="str">
        <f>IF(SUM($BH11:$BM11)&gt;1,$BH$2,"")</f>
        <v/>
      </c>
      <c r="KJ9" s="36" t="str">
        <f t="shared" si="137"/>
        <v/>
      </c>
      <c r="KK9" s="36" t="str">
        <f t="shared" si="138"/>
        <v/>
      </c>
      <c r="KL9" s="36" t="str">
        <f t="shared" si="139"/>
        <v/>
      </c>
      <c r="KM9" s="36" t="str">
        <f t="shared" si="140"/>
        <v/>
      </c>
      <c r="KN9" s="36" t="str">
        <f t="shared" si="141"/>
        <v/>
      </c>
      <c r="KO9" s="36" t="str">
        <f t="shared" si="142"/>
        <v/>
      </c>
      <c r="KP9" s="36" t="str">
        <f t="shared" si="143"/>
        <v/>
      </c>
      <c r="KQ9" s="36" t="str">
        <f t="shared" si="144"/>
        <v/>
      </c>
      <c r="KS9" s="36">
        <f t="shared" si="145"/>
        <v>999</v>
      </c>
      <c r="KT9" s="36">
        <f t="shared" si="146"/>
        <v>999</v>
      </c>
      <c r="KU9" s="36" t="str">
        <f t="shared" si="12"/>
        <v/>
      </c>
      <c r="KW9" s="36">
        <f t="shared" si="147"/>
        <v>1</v>
      </c>
      <c r="KX9" s="36">
        <f t="shared" si="148"/>
        <v>0</v>
      </c>
      <c r="KY9" s="36" t="str">
        <f t="shared" ref="KY9:KY22" si="178">IF(KX8=0,(IF($KW$6=1,KU8,KU9)),"")</f>
        <v/>
      </c>
      <c r="KZ9" s="36">
        <f t="shared" si="149"/>
        <v>0</v>
      </c>
      <c r="LA9" s="149" t="str">
        <f t="shared" si="150"/>
        <v/>
      </c>
      <c r="LC9" s="36" t="str">
        <f t="shared" si="151"/>
        <v/>
      </c>
      <c r="LD9" s="36" t="str">
        <f t="shared" si="152"/>
        <v/>
      </c>
      <c r="LE9" s="36" t="str">
        <f t="shared" si="153"/>
        <v/>
      </c>
      <c r="LF9" s="36" t="str">
        <f t="shared" si="154"/>
        <v/>
      </c>
      <c r="LG9" s="36" t="str">
        <f t="shared" si="155"/>
        <v/>
      </c>
      <c r="LH9" s="36" t="str">
        <f t="shared" si="156"/>
        <v/>
      </c>
      <c r="LI9" s="36" t="str">
        <f t="shared" si="157"/>
        <v/>
      </c>
      <c r="LJ9" s="36" t="str">
        <f t="shared" si="158"/>
        <v/>
      </c>
      <c r="LK9" s="36" t="str">
        <f t="shared" si="159"/>
        <v/>
      </c>
      <c r="LL9" s="36" t="str">
        <f t="shared" si="160"/>
        <v/>
      </c>
      <c r="LM9" s="36" t="str">
        <f t="shared" si="161"/>
        <v/>
      </c>
      <c r="LN9" s="36" t="str">
        <f t="shared" si="162"/>
        <v/>
      </c>
      <c r="LO9" s="149" t="str">
        <f t="shared" si="163"/>
        <v/>
      </c>
      <c r="LP9" s="138"/>
      <c r="LQ9" s="36" t="str">
        <f t="shared" si="164"/>
        <v/>
      </c>
      <c r="LS9" s="36" t="str">
        <f t="shared" si="165"/>
        <v/>
      </c>
      <c r="LT9" s="36" t="str">
        <f t="shared" si="166"/>
        <v/>
      </c>
      <c r="LU9" s="36" t="str">
        <f t="shared" si="167"/>
        <v/>
      </c>
      <c r="LW9" s="36" t="str">
        <f>LU8</f>
        <v/>
      </c>
      <c r="LX9" s="152"/>
    </row>
    <row r="10" spans="1:336" ht="14.25" customHeight="1" thickBot="1" x14ac:dyDescent="0.3">
      <c r="A10" s="365"/>
      <c r="B10" s="360"/>
      <c r="C10" s="363"/>
      <c r="D10" s="362"/>
      <c r="E10" s="346"/>
      <c r="F10" s="29">
        <v>0</v>
      </c>
      <c r="G10" s="30"/>
      <c r="H10" s="334"/>
      <c r="I10" s="29"/>
      <c r="J10" s="30"/>
      <c r="K10" s="334"/>
      <c r="L10" s="29">
        <v>0</v>
      </c>
      <c r="M10" s="30"/>
      <c r="N10" s="334"/>
      <c r="O10" s="29"/>
      <c r="P10" s="30"/>
      <c r="Q10" s="334"/>
      <c r="R10" s="29"/>
      <c r="S10" s="30"/>
      <c r="T10" s="334"/>
      <c r="U10" s="29"/>
      <c r="V10" s="30"/>
      <c r="W10" s="337"/>
      <c r="X10" s="29"/>
      <c r="Y10" s="30"/>
      <c r="Z10" s="338"/>
      <c r="AA10" s="335"/>
      <c r="AB10" s="336"/>
      <c r="AC10" s="357"/>
      <c r="AD10" s="328"/>
      <c r="AE10" s="328"/>
      <c r="AG10" s="252">
        <v>4</v>
      </c>
      <c r="AH10" s="138" t="str">
        <f t="shared" si="13"/>
        <v/>
      </c>
      <c r="AI10" s="177"/>
      <c r="AJ10" s="36" t="str">
        <f t="shared" si="14"/>
        <v/>
      </c>
      <c r="AK10" s="149" t="str">
        <f t="shared" si="15"/>
        <v/>
      </c>
      <c r="AM10" s="138" t="str">
        <f t="shared" si="16"/>
        <v/>
      </c>
      <c r="AN10" s="177"/>
      <c r="AO10" s="36" t="str">
        <f t="shared" si="3"/>
        <v/>
      </c>
      <c r="AP10" s="149" t="str">
        <f t="shared" si="17"/>
        <v/>
      </c>
      <c r="AR10" s="138" t="str">
        <f t="shared" si="18"/>
        <v/>
      </c>
      <c r="AS10" s="177"/>
      <c r="AT10" s="36" t="str">
        <f t="shared" si="19"/>
        <v/>
      </c>
      <c r="AU10" s="149" t="str">
        <f t="shared" ref="AU10:AU17" si="179">IF($Q$5="","",(IH10))</f>
        <v/>
      </c>
      <c r="AW10" s="138" t="str">
        <f t="shared" si="4"/>
        <v/>
      </c>
      <c r="AX10" s="177"/>
      <c r="AY10" s="36" t="str">
        <f t="shared" si="20"/>
        <v/>
      </c>
      <c r="AZ10" s="149" t="str">
        <f t="shared" si="21"/>
        <v/>
      </c>
      <c r="BB10" s="138" t="str">
        <f t="shared" si="22"/>
        <v/>
      </c>
      <c r="BC10" s="177"/>
      <c r="BD10" s="36" t="str">
        <f t="shared" si="23"/>
        <v/>
      </c>
      <c r="BE10" s="149" t="str">
        <f t="shared" si="24"/>
        <v/>
      </c>
      <c r="BH10" s="36" t="str">
        <f>IF(E10=$BQ$2,"",(IF(A10="","",(IF(F10="","",(IF(F10&lt;2,1,0)))))))</f>
        <v/>
      </c>
      <c r="BI10" s="36" t="str">
        <f>IF(H10=$BQ$2,"",(IF(A10="","",(IF(I10="","",(IF(I10&lt;2,1,0)))))))</f>
        <v/>
      </c>
      <c r="BJ10" s="36" t="str">
        <f>IF(K10=$BQ$2,"",(IF(A10="","",(IF(L10="","",(IF(L10&lt;2,1,0)))))))</f>
        <v/>
      </c>
      <c r="BK10" s="36" t="str">
        <f>IF(W10=$BQ$2,"",(IF(A10="","",(IF(X10="","",(IF(X10&lt;2,1,0)))))))</f>
        <v/>
      </c>
      <c r="BP10" s="36" t="str">
        <f>IF(BH10="","",(SUM(BH10:BK10)))</f>
        <v/>
      </c>
      <c r="BR10" s="36" t="str">
        <f>BP13</f>
        <v/>
      </c>
      <c r="BS10" s="36" t="str">
        <f>D13</f>
        <v/>
      </c>
      <c r="BT10" s="36" t="str">
        <f>IF(SUM(BH13,BI13)=2,$BH$2,"")</f>
        <v/>
      </c>
      <c r="BV10" s="36">
        <f t="shared" si="5"/>
        <v>999</v>
      </c>
      <c r="BW10" s="36">
        <f t="shared" si="25"/>
        <v>999</v>
      </c>
      <c r="BX10" s="36">
        <f t="shared" si="168"/>
        <v>4</v>
      </c>
      <c r="BY10" s="36">
        <f t="shared" si="26"/>
        <v>999</v>
      </c>
      <c r="CB10" s="122">
        <v>4</v>
      </c>
      <c r="CC10" s="36">
        <f>IF(D13="",0,D13)</f>
        <v>0</v>
      </c>
      <c r="CD10" s="36">
        <f t="shared" si="27"/>
        <v>0</v>
      </c>
      <c r="CE10" s="36">
        <f t="shared" si="28"/>
        <v>0</v>
      </c>
      <c r="CH10" s="36">
        <f t="shared" si="169"/>
        <v>0</v>
      </c>
      <c r="CI10" s="36">
        <f t="shared" si="29"/>
        <v>0</v>
      </c>
      <c r="CJ10" s="36">
        <f t="shared" si="30"/>
        <v>0</v>
      </c>
      <c r="CM10" s="36">
        <f t="shared" si="170"/>
        <v>0</v>
      </c>
      <c r="CO10" s="36">
        <f t="shared" si="31"/>
        <v>0</v>
      </c>
      <c r="CP10" s="36" t="str">
        <f t="shared" si="32"/>
        <v/>
      </c>
      <c r="CQ10" s="36">
        <f t="shared" si="33"/>
        <v>999</v>
      </c>
      <c r="CR10" s="36">
        <f t="shared" si="34"/>
        <v>4</v>
      </c>
      <c r="CS10" s="36">
        <f t="shared" si="35"/>
        <v>4</v>
      </c>
      <c r="CT10" s="36">
        <f t="shared" si="36"/>
        <v>999</v>
      </c>
      <c r="CU10" s="36" t="str">
        <f t="shared" si="37"/>
        <v/>
      </c>
      <c r="CV10" s="36">
        <f t="shared" si="38"/>
        <v>0</v>
      </c>
      <c r="CW10" s="36">
        <f t="shared" si="39"/>
        <v>0</v>
      </c>
      <c r="CX10" s="149" t="str">
        <f t="shared" si="171"/>
        <v/>
      </c>
      <c r="DA10" s="36" t="str">
        <f>D13</f>
        <v/>
      </c>
      <c r="DB10" s="36" t="str">
        <f>E13</f>
        <v/>
      </c>
      <c r="DC10" s="36" t="str">
        <f>H13</f>
        <v/>
      </c>
      <c r="DD10" s="36" t="str">
        <f t="shared" si="40"/>
        <v/>
      </c>
      <c r="DF10" s="36" t="str">
        <f t="shared" si="41"/>
        <v/>
      </c>
      <c r="DG10" s="36" t="str">
        <f t="shared" si="42"/>
        <v/>
      </c>
      <c r="DH10" s="36" t="str">
        <f t="shared" si="43"/>
        <v/>
      </c>
      <c r="DI10" s="36" t="str">
        <f t="shared" si="6"/>
        <v/>
      </c>
      <c r="DJ10" s="36" t="str">
        <f t="shared" si="44"/>
        <v/>
      </c>
      <c r="DL10" s="36" t="str">
        <f t="shared" si="7"/>
        <v/>
      </c>
      <c r="DM10" s="149" t="str">
        <f t="shared" si="45"/>
        <v/>
      </c>
      <c r="DN10" s="36" t="str">
        <f t="shared" si="46"/>
        <v/>
      </c>
      <c r="DO10" s="36" t="str">
        <f t="shared" si="47"/>
        <v/>
      </c>
      <c r="DP10" s="36" t="str">
        <f t="shared" si="48"/>
        <v/>
      </c>
      <c r="DR10" s="36" t="str">
        <f t="shared" si="49"/>
        <v/>
      </c>
      <c r="DS10" s="36" t="str">
        <f t="shared" si="50"/>
        <v/>
      </c>
      <c r="DT10" s="36" t="str">
        <f t="shared" si="51"/>
        <v/>
      </c>
      <c r="DX10" s="152" t="str">
        <f t="shared" si="52"/>
        <v/>
      </c>
      <c r="DY10" s="36" t="str">
        <f t="shared" si="53"/>
        <v/>
      </c>
      <c r="DZ10" s="36" t="str">
        <f t="shared" si="54"/>
        <v/>
      </c>
      <c r="EA10" s="36" t="str">
        <f t="shared" si="55"/>
        <v/>
      </c>
      <c r="EB10" s="173" t="str">
        <f t="shared" si="56"/>
        <v/>
      </c>
      <c r="ED10" s="122">
        <v>4</v>
      </c>
      <c r="EE10" s="36" t="str">
        <f t="shared" si="57"/>
        <v/>
      </c>
      <c r="EF10" s="36">
        <f t="shared" si="58"/>
        <v>0</v>
      </c>
      <c r="EG10" s="36" t="str">
        <f>IF(SUM($BH13:$BJ13)=2,$BH$2,"")</f>
        <v/>
      </c>
      <c r="EH10" s="36" t="str">
        <f t="shared" si="59"/>
        <v/>
      </c>
      <c r="EJ10" s="36">
        <f t="shared" si="60"/>
        <v>999</v>
      </c>
      <c r="EK10" s="36">
        <f t="shared" si="61"/>
        <v>999</v>
      </c>
      <c r="EL10" s="36" t="str">
        <f t="shared" si="62"/>
        <v/>
      </c>
      <c r="EM10" s="36">
        <f t="shared" si="63"/>
        <v>1</v>
      </c>
      <c r="EN10" s="36">
        <f t="shared" si="64"/>
        <v>0</v>
      </c>
      <c r="EQ10" s="36" t="str">
        <f t="shared" si="172"/>
        <v/>
      </c>
      <c r="ER10" s="36">
        <f t="shared" si="65"/>
        <v>0</v>
      </c>
      <c r="ES10" s="36">
        <f t="shared" si="66"/>
        <v>0</v>
      </c>
      <c r="ET10" s="149" t="str">
        <f t="shared" si="67"/>
        <v/>
      </c>
      <c r="EV10" s="36" t="str">
        <f>D13</f>
        <v/>
      </c>
      <c r="EW10" s="36" t="str">
        <f>E13</f>
        <v/>
      </c>
      <c r="EX10" s="36" t="str">
        <f>H13</f>
        <v/>
      </c>
      <c r="EY10" s="36" t="str">
        <f>K13</f>
        <v/>
      </c>
      <c r="EZ10" s="36" t="str">
        <f t="shared" si="68"/>
        <v/>
      </c>
      <c r="FB10" s="36" t="str">
        <f t="shared" si="69"/>
        <v/>
      </c>
      <c r="FC10" s="36" t="str">
        <f t="shared" si="70"/>
        <v/>
      </c>
      <c r="FD10" s="36" t="str">
        <f t="shared" si="71"/>
        <v/>
      </c>
      <c r="FE10" s="36" t="str">
        <f t="shared" si="72"/>
        <v/>
      </c>
      <c r="FF10" s="36" t="str">
        <f t="shared" si="73"/>
        <v/>
      </c>
      <c r="FG10" s="36" t="str">
        <f t="shared" si="74"/>
        <v/>
      </c>
      <c r="FI10" s="36" t="str">
        <f t="shared" si="75"/>
        <v/>
      </c>
      <c r="FJ10" s="36" t="str">
        <f t="shared" si="76"/>
        <v/>
      </c>
      <c r="FL10" s="36" t="str">
        <f t="shared" si="77"/>
        <v/>
      </c>
      <c r="FM10" s="36" t="str">
        <f t="shared" si="78"/>
        <v/>
      </c>
      <c r="FN10" s="36" t="str">
        <f t="shared" si="79"/>
        <v/>
      </c>
      <c r="FO10" s="36" t="str">
        <f t="shared" si="80"/>
        <v/>
      </c>
      <c r="FP10" s="36" t="str">
        <f t="shared" si="81"/>
        <v/>
      </c>
      <c r="FQ10" s="36" t="str">
        <f t="shared" si="82"/>
        <v/>
      </c>
      <c r="FR10" s="173" t="str">
        <f t="shared" si="8"/>
        <v/>
      </c>
      <c r="FT10" s="36">
        <v>4</v>
      </c>
      <c r="FV10" s="36" t="str">
        <f t="shared" si="83"/>
        <v/>
      </c>
      <c r="FW10" s="36" t="str">
        <f t="shared" si="84"/>
        <v/>
      </c>
      <c r="FX10" s="36" t="str">
        <f t="shared" si="85"/>
        <v/>
      </c>
      <c r="GA10" s="152"/>
      <c r="GB10" s="122">
        <v>4</v>
      </c>
      <c r="GC10" s="36" t="str">
        <f>IF(D13="","",D13)</f>
        <v/>
      </c>
      <c r="GD10" s="36" t="str">
        <f>IF(E13="","",E13)</f>
        <v/>
      </c>
      <c r="GE10" s="36" t="str">
        <f>IF(H13="","",H13)</f>
        <v/>
      </c>
      <c r="GF10" s="36" t="str">
        <f>IF(K13="","",K13)</f>
        <v/>
      </c>
      <c r="GG10" s="36" t="str">
        <f>IF(N13="","",N13)</f>
        <v/>
      </c>
      <c r="GH10" s="36" t="str">
        <f>IF(Q13="","",Q13)</f>
        <v/>
      </c>
      <c r="GI10" s="36" t="str">
        <f>IF(T13="","",T13)</f>
        <v/>
      </c>
      <c r="GJ10" s="36" t="str">
        <f>IF(W13="","",W13)</f>
        <v/>
      </c>
      <c r="GK10" s="36" t="str">
        <f>IF(C13="","",C13)</f>
        <v/>
      </c>
      <c r="GM10" s="36" t="str">
        <f>IF(F13="","",F13)</f>
        <v/>
      </c>
      <c r="GN10" s="36" t="str">
        <f>IF(I13="","",I13)</f>
        <v/>
      </c>
      <c r="GO10" s="36" t="str">
        <f>IF(L13="","",L13)</f>
        <v/>
      </c>
      <c r="GP10" s="36" t="str">
        <f>IF(O13="","",O13)</f>
        <v/>
      </c>
      <c r="GQ10" s="36" t="str">
        <f>IF(R13="","",R13)</f>
        <v/>
      </c>
      <c r="GR10" s="36" t="str">
        <f>IF(U13="","",U13)</f>
        <v/>
      </c>
      <c r="GS10" s="36" t="str">
        <f>IF(X13="","",X13)</f>
        <v/>
      </c>
      <c r="GU10" s="36" t="str">
        <f>IF(F14="","",F14)</f>
        <v/>
      </c>
      <c r="GV10" s="36" t="str">
        <f>IF(I14="","",I14)</f>
        <v/>
      </c>
      <c r="GW10" s="36" t="str">
        <f>IF(L14="","",L14)</f>
        <v/>
      </c>
      <c r="GX10" s="36" t="str">
        <f>IF(O14="","",O14)</f>
        <v/>
      </c>
      <c r="GY10" s="36" t="str">
        <f>IF(R14="","",R14)</f>
        <v/>
      </c>
      <c r="GZ10" s="36" t="str">
        <f>IF(U14="","",U14)</f>
        <v/>
      </c>
      <c r="HA10" s="36" t="str">
        <f>IF(X14="","",X14)</f>
        <v/>
      </c>
      <c r="HB10" s="152"/>
      <c r="HC10" s="122">
        <v>4</v>
      </c>
      <c r="HD10" s="36" t="str">
        <f>IF(SUM($BH13:$BK13)&gt;=2,$BH$2,"")</f>
        <v/>
      </c>
      <c r="HE10" s="36" t="str">
        <f t="shared" si="86"/>
        <v/>
      </c>
      <c r="HF10" s="36" t="str">
        <f t="shared" si="87"/>
        <v/>
      </c>
      <c r="HG10" s="36" t="str">
        <f t="shared" si="88"/>
        <v/>
      </c>
      <c r="HH10" s="36" t="str">
        <f t="shared" si="89"/>
        <v/>
      </c>
      <c r="HI10" s="36" t="str">
        <f t="shared" si="90"/>
        <v/>
      </c>
      <c r="HK10" s="36" t="str">
        <f t="shared" si="91"/>
        <v/>
      </c>
      <c r="HM10" s="36">
        <f t="shared" si="92"/>
        <v>999</v>
      </c>
      <c r="HN10" s="36">
        <f t="shared" si="93"/>
        <v>999</v>
      </c>
      <c r="HO10" s="36" t="str">
        <f t="shared" si="9"/>
        <v/>
      </c>
      <c r="HQ10" s="36">
        <f t="shared" si="94"/>
        <v>1</v>
      </c>
      <c r="HR10" s="36">
        <f t="shared" si="95"/>
        <v>0</v>
      </c>
      <c r="HS10" s="36" t="str">
        <f t="shared" si="173"/>
        <v/>
      </c>
      <c r="HT10" s="36">
        <f t="shared" si="96"/>
        <v>0</v>
      </c>
      <c r="HU10" s="149" t="str">
        <f t="shared" si="97"/>
        <v/>
      </c>
      <c r="HV10" s="138"/>
      <c r="HW10" s="36" t="str">
        <f t="shared" si="98"/>
        <v/>
      </c>
      <c r="HX10" s="36" t="str">
        <f t="shared" si="99"/>
        <v/>
      </c>
      <c r="HY10" s="36" t="str">
        <f t="shared" si="100"/>
        <v/>
      </c>
      <c r="HZ10" s="36" t="str">
        <f t="shared" si="101"/>
        <v/>
      </c>
      <c r="IA10" s="36" t="str">
        <f t="shared" si="102"/>
        <v/>
      </c>
      <c r="IC10" s="36" t="str">
        <f t="shared" si="174"/>
        <v/>
      </c>
      <c r="ID10" s="36" t="str">
        <f t="shared" si="103"/>
        <v/>
      </c>
      <c r="IE10" s="36" t="str">
        <f t="shared" si="104"/>
        <v/>
      </c>
      <c r="IF10" s="36" t="str">
        <f t="shared" si="105"/>
        <v/>
      </c>
      <c r="IG10" s="36" t="str">
        <f t="shared" si="106"/>
        <v/>
      </c>
      <c r="IH10" s="149" t="str">
        <f t="shared" si="107"/>
        <v/>
      </c>
      <c r="II10" s="138"/>
      <c r="IJ10" s="36" t="str">
        <f t="shared" si="108"/>
        <v/>
      </c>
      <c r="IL10" s="36" t="str">
        <f t="shared" si="109"/>
        <v/>
      </c>
      <c r="IM10" s="36" t="str">
        <f t="shared" si="110"/>
        <v/>
      </c>
      <c r="IN10" s="36" t="str">
        <f t="shared" si="111"/>
        <v/>
      </c>
      <c r="IQ10" s="152"/>
      <c r="IR10" s="122">
        <v>4</v>
      </c>
      <c r="IS10" s="36" t="str">
        <f>IF(SUM($BH13:$BL13)&gt;1,$BH$2,"")</f>
        <v/>
      </c>
      <c r="IT10" s="36" t="str">
        <f t="shared" si="112"/>
        <v/>
      </c>
      <c r="IU10" s="36" t="str">
        <f t="shared" si="113"/>
        <v/>
      </c>
      <c r="IV10" s="36" t="str">
        <f t="shared" si="114"/>
        <v/>
      </c>
      <c r="IW10" s="36" t="str">
        <f t="shared" si="115"/>
        <v/>
      </c>
      <c r="IX10" s="36" t="str">
        <f t="shared" si="116"/>
        <v/>
      </c>
      <c r="IY10" s="36" t="str">
        <f t="shared" si="117"/>
        <v/>
      </c>
      <c r="IZ10" s="36" t="str">
        <f t="shared" si="118"/>
        <v/>
      </c>
      <c r="JB10" s="36">
        <f t="shared" si="119"/>
        <v>999</v>
      </c>
      <c r="JC10" s="36">
        <f t="shared" si="120"/>
        <v>999</v>
      </c>
      <c r="JD10" s="36" t="str">
        <f t="shared" si="10"/>
        <v/>
      </c>
      <c r="JF10" s="36">
        <f t="shared" si="121"/>
        <v>1</v>
      </c>
      <c r="JG10" s="36">
        <f t="shared" si="122"/>
        <v>0</v>
      </c>
      <c r="JH10" s="36" t="str">
        <f t="shared" si="175"/>
        <v/>
      </c>
      <c r="JI10" s="36">
        <f t="shared" si="123"/>
        <v>0</v>
      </c>
      <c r="JJ10" s="149" t="str">
        <f t="shared" si="124"/>
        <v/>
      </c>
      <c r="JL10" s="36" t="str">
        <f t="shared" si="176"/>
        <v/>
      </c>
      <c r="JM10" s="36" t="str">
        <f t="shared" si="125"/>
        <v/>
      </c>
      <c r="JN10" s="36" t="str">
        <f t="shared" si="126"/>
        <v/>
      </c>
      <c r="JO10" s="36" t="str">
        <f t="shared" si="127"/>
        <v/>
      </c>
      <c r="JP10" s="36" t="str">
        <f t="shared" si="128"/>
        <v/>
      </c>
      <c r="JQ10" s="36" t="str">
        <f t="shared" si="129"/>
        <v/>
      </c>
      <c r="JS10" s="36" t="str">
        <f t="shared" si="130"/>
        <v/>
      </c>
      <c r="JT10" s="36" t="str">
        <f t="shared" si="177"/>
        <v/>
      </c>
      <c r="JU10" s="36" t="str">
        <f t="shared" si="11"/>
        <v/>
      </c>
      <c r="JV10" s="36" t="str">
        <f>IF(JH10="","",(IF(JL10="",0,(IF(JL10=$JH$7,1,IF(JL10=$JH$8,1,IF(JL10=$JH$9,1,IF(JL10=$JH$10,1,IF(JL10=$JH$11,1,IF(JL10=$JH$12,1,IF(JL10=$JH$13,1,IF(JL10=$JH$14,1,0)*0)))))))))))</f>
        <v/>
      </c>
      <c r="JW10" s="36" t="str">
        <f t="shared" si="131"/>
        <v/>
      </c>
      <c r="JX10" s="149" t="str">
        <f t="shared" si="132"/>
        <v/>
      </c>
      <c r="JY10" s="138"/>
      <c r="JZ10" s="36" t="str">
        <f t="shared" si="133"/>
        <v/>
      </c>
      <c r="KB10" s="36" t="str">
        <f t="shared" si="134"/>
        <v/>
      </c>
      <c r="KC10" s="36" t="str">
        <f t="shared" si="135"/>
        <v/>
      </c>
      <c r="KD10" s="36" t="str">
        <f t="shared" si="136"/>
        <v/>
      </c>
      <c r="KG10" s="152"/>
      <c r="KH10" s="122">
        <v>4</v>
      </c>
      <c r="KI10" t="str">
        <f>IF(SUM($BH13:$BM13)&gt;1,$BH$2,"")</f>
        <v/>
      </c>
      <c r="KJ10" s="36" t="str">
        <f t="shared" si="137"/>
        <v/>
      </c>
      <c r="KK10" s="36" t="str">
        <f t="shared" si="138"/>
        <v/>
      </c>
      <c r="KL10" s="36" t="str">
        <f t="shared" si="139"/>
        <v/>
      </c>
      <c r="KM10" s="36" t="str">
        <f t="shared" si="140"/>
        <v/>
      </c>
      <c r="KN10" s="36" t="str">
        <f t="shared" si="141"/>
        <v/>
      </c>
      <c r="KO10" s="36" t="str">
        <f t="shared" si="142"/>
        <v/>
      </c>
      <c r="KP10" s="36" t="str">
        <f t="shared" si="143"/>
        <v/>
      </c>
      <c r="KQ10" s="36" t="str">
        <f>IF($KJ10="","",(INDEX($KI$7:$KI$22,$KJ10)))</f>
        <v/>
      </c>
      <c r="KS10" s="36">
        <f>IF(KJ10="",$BK$2,(IF(KQ10=$BH$2,$BK$2,KH10)))</f>
        <v>999</v>
      </c>
      <c r="KT10" s="36">
        <f t="shared" si="146"/>
        <v>999</v>
      </c>
      <c r="KU10" s="36" t="str">
        <f t="shared" si="12"/>
        <v/>
      </c>
      <c r="KW10" s="36">
        <f t="shared" si="147"/>
        <v>1</v>
      </c>
      <c r="KX10" s="36">
        <f t="shared" si="148"/>
        <v>0</v>
      </c>
      <c r="KY10" s="36" t="str">
        <f t="shared" si="178"/>
        <v/>
      </c>
      <c r="KZ10" s="36">
        <f t="shared" si="149"/>
        <v>0</v>
      </c>
      <c r="LA10" s="149" t="str">
        <f t="shared" si="150"/>
        <v/>
      </c>
      <c r="LC10" s="36" t="str">
        <f t="shared" si="151"/>
        <v/>
      </c>
      <c r="LD10" s="36" t="str">
        <f t="shared" si="152"/>
        <v/>
      </c>
      <c r="LE10" s="36" t="str">
        <f t="shared" si="153"/>
        <v/>
      </c>
      <c r="LF10" s="36" t="str">
        <f t="shared" si="154"/>
        <v/>
      </c>
      <c r="LG10" s="36" t="str">
        <f t="shared" si="155"/>
        <v/>
      </c>
      <c r="LH10" s="36" t="str">
        <f t="shared" si="156"/>
        <v/>
      </c>
      <c r="LI10" s="36" t="str">
        <f t="shared" si="157"/>
        <v/>
      </c>
      <c r="LJ10" s="36" t="str">
        <f t="shared" si="158"/>
        <v/>
      </c>
      <c r="LK10" s="36" t="str">
        <f t="shared" si="159"/>
        <v/>
      </c>
      <c r="LL10" s="36" t="str">
        <f t="shared" si="160"/>
        <v/>
      </c>
      <c r="LM10" s="36" t="str">
        <f t="shared" si="161"/>
        <v/>
      </c>
      <c r="LN10" s="36" t="str">
        <f t="shared" si="162"/>
        <v/>
      </c>
      <c r="LO10" s="149" t="str">
        <f t="shared" si="163"/>
        <v/>
      </c>
      <c r="LP10" s="138"/>
      <c r="LQ10" s="36" t="str">
        <f t="shared" si="164"/>
        <v/>
      </c>
      <c r="LS10" s="36" t="str">
        <f t="shared" si="165"/>
        <v/>
      </c>
      <c r="LT10" s="36" t="str">
        <f t="shared" si="166"/>
        <v/>
      </c>
      <c r="LU10" s="36" t="str">
        <f t="shared" si="167"/>
        <v/>
      </c>
      <c r="LX10" s="152"/>
    </row>
    <row r="11" spans="1:336" ht="14.25" customHeight="1" thickBot="1" x14ac:dyDescent="0.3">
      <c r="A11" s="364" t="str">
        <f>'Vážní listina'!HQ11</f>
        <v>MÍSAŘ Filip</v>
      </c>
      <c r="B11" s="359" t="str">
        <f>'Vážní listina'!HR11</f>
        <v>H.Brod</v>
      </c>
      <c r="C11" s="363" t="str">
        <f>IF(BP11="","",(IF(BP11&gt;1,$BH$2,"")))</f>
        <v/>
      </c>
      <c r="D11" s="361">
        <f>'Vážní listina'!HK11</f>
        <v>3</v>
      </c>
      <c r="E11" s="343" t="str">
        <f>'Vážní listina'!HL11</f>
        <v>VL</v>
      </c>
      <c r="F11" s="26"/>
      <c r="G11" s="33"/>
      <c r="H11" s="343">
        <f>IF(H5="","",'Vážní listina'!HM11)</f>
        <v>1</v>
      </c>
      <c r="I11" s="26">
        <v>5</v>
      </c>
      <c r="J11" s="33"/>
      <c r="K11" s="334">
        <f>IF(K5="","",DV11)</f>
        <v>2</v>
      </c>
      <c r="L11" s="26">
        <v>5</v>
      </c>
      <c r="M11" s="33"/>
      <c r="N11" s="334" t="str">
        <f>IF(N5="","",FZ11)</f>
        <v/>
      </c>
      <c r="O11" s="26"/>
      <c r="P11" s="33"/>
      <c r="Q11" s="334" t="str">
        <f>IF(Q5="","",IP11)</f>
        <v/>
      </c>
      <c r="R11" s="26"/>
      <c r="S11" s="33"/>
      <c r="T11" s="334" t="str">
        <f>IF(T5="","",KF11)</f>
        <v/>
      </c>
      <c r="U11" s="26"/>
      <c r="V11" s="33"/>
      <c r="W11" s="337" t="str">
        <f>IF(W5="","",LW11)</f>
        <v/>
      </c>
      <c r="X11" s="26"/>
      <c r="Y11" s="33"/>
      <c r="Z11" s="338">
        <f>IF(A11="","",(F11+I11+L11+O11+R11+U11+X11))</f>
        <v>10</v>
      </c>
      <c r="AA11" s="335">
        <f>IF(A11="","",(F12+I12+L12+O12+R12+U12+X12))</f>
        <v>8</v>
      </c>
      <c r="AB11" s="336">
        <f>IF(A11="","",(G11+J11+M11+P11+S11+V11+Y11))</f>
        <v>0</v>
      </c>
      <c r="AC11" s="356" t="str">
        <f>HF84</f>
        <v>F</v>
      </c>
      <c r="AD11" s="329"/>
      <c r="AE11" s="328">
        <f>IF(D11="","",(IF('Tabulka finále'!$BK$47=1,(IF('Tabulka finále'!$K$56="","",(IF($AC$5="","",(IF($H$5="","",(FW122))))))),"")))</f>
        <v>2</v>
      </c>
      <c r="AG11" s="252">
        <v>5</v>
      </c>
      <c r="AH11" s="138" t="str">
        <f t="shared" si="13"/>
        <v/>
      </c>
      <c r="AI11" s="177"/>
      <c r="AJ11" s="36" t="str">
        <f t="shared" si="14"/>
        <v/>
      </c>
      <c r="AK11" s="149" t="str">
        <f t="shared" si="15"/>
        <v/>
      </c>
      <c r="AM11" s="138" t="str">
        <f t="shared" si="16"/>
        <v/>
      </c>
      <c r="AN11" s="177"/>
      <c r="AO11" s="36" t="str">
        <f t="shared" si="3"/>
        <v/>
      </c>
      <c r="AP11" s="149" t="str">
        <f t="shared" si="17"/>
        <v/>
      </c>
      <c r="AR11" s="138" t="str">
        <f t="shared" si="18"/>
        <v/>
      </c>
      <c r="AS11" s="177"/>
      <c r="AT11" s="36" t="str">
        <f t="shared" si="19"/>
        <v/>
      </c>
      <c r="AU11" s="149" t="str">
        <f t="shared" si="179"/>
        <v/>
      </c>
      <c r="AW11" s="138" t="str">
        <f t="shared" si="4"/>
        <v/>
      </c>
      <c r="AX11" s="177"/>
      <c r="AY11" s="36" t="str">
        <f t="shared" si="20"/>
        <v/>
      </c>
      <c r="AZ11" s="149" t="str">
        <f t="shared" si="21"/>
        <v/>
      </c>
      <c r="BB11" s="138" t="str">
        <f t="shared" si="22"/>
        <v/>
      </c>
      <c r="BC11" s="177"/>
      <c r="BD11" s="36" t="str">
        <f t="shared" si="23"/>
        <v/>
      </c>
      <c r="BE11" s="149" t="str">
        <f t="shared" si="24"/>
        <v/>
      </c>
      <c r="BG11" s="36">
        <f>IF(A11="",0,1)</f>
        <v>1</v>
      </c>
      <c r="BH11" s="36">
        <f>(IF(E11="","",(IF(E11=$BQ$2,0,(IF(A11="","",(IF(F11="","",(IF(F11&lt;2,1,0))))))))))</f>
        <v>0</v>
      </c>
      <c r="BI11" s="36">
        <f>IF(H11=$BQ$2,0,(IF(A11="","",(IF(I11="","",(IF(I11&lt;2,1,0)))))))</f>
        <v>0</v>
      </c>
      <c r="BJ11" s="36">
        <f>IF(L11="","",(IF(L11&lt;2,1,0)))</f>
        <v>0</v>
      </c>
      <c r="BK11" s="36" t="str">
        <f>IF(O11="","",(IF(O11&lt;2,1,0)))</f>
        <v/>
      </c>
      <c r="BL11" s="36" t="str">
        <f>IF(R11="","",(IF(R11&lt;2,1,0)))</f>
        <v/>
      </c>
      <c r="BM11" s="36" t="str">
        <f>IF(U11="","",(IF(U11&lt;2,1,0)))</f>
        <v/>
      </c>
      <c r="BN11" s="36" t="str">
        <f>IF(X11="","",(IF(X11&lt;2,1,0)))</f>
        <v/>
      </c>
      <c r="BP11" s="36">
        <f>IF(BG11=0,"",(SUM(BH11:BN11)))</f>
        <v>0</v>
      </c>
      <c r="BR11" s="36" t="str">
        <f>BP15</f>
        <v/>
      </c>
      <c r="BS11" s="36" t="str">
        <f>D15</f>
        <v/>
      </c>
      <c r="BT11" s="36" t="str">
        <f>IF(SUM(BH15,BI15)=2,$BH$2,"")</f>
        <v/>
      </c>
      <c r="BV11" s="36">
        <f t="shared" si="5"/>
        <v>3</v>
      </c>
      <c r="BW11" s="36">
        <f t="shared" si="25"/>
        <v>0</v>
      </c>
      <c r="BX11" s="36">
        <f t="shared" si="168"/>
        <v>5</v>
      </c>
      <c r="BY11" s="36">
        <f t="shared" si="26"/>
        <v>999</v>
      </c>
      <c r="CB11" s="122">
        <v>5</v>
      </c>
      <c r="CC11" s="36">
        <f>IF(D15="",0,D15)</f>
        <v>0</v>
      </c>
      <c r="CD11" s="36">
        <f t="shared" si="27"/>
        <v>0</v>
      </c>
      <c r="CE11" s="36">
        <f t="shared" si="28"/>
        <v>0</v>
      </c>
      <c r="CH11" s="36">
        <f t="shared" si="169"/>
        <v>0</v>
      </c>
      <c r="CI11" s="36">
        <f t="shared" si="29"/>
        <v>0</v>
      </c>
      <c r="CJ11" s="36">
        <f t="shared" si="30"/>
        <v>0</v>
      </c>
      <c r="CM11" s="36">
        <f t="shared" si="170"/>
        <v>0</v>
      </c>
      <c r="CO11" s="36">
        <f t="shared" si="31"/>
        <v>0</v>
      </c>
      <c r="CP11" s="36" t="str">
        <f t="shared" si="32"/>
        <v/>
      </c>
      <c r="CQ11" s="36">
        <f t="shared" si="33"/>
        <v>999</v>
      </c>
      <c r="CR11" s="36">
        <f t="shared" si="34"/>
        <v>5</v>
      </c>
      <c r="CS11" s="36">
        <f t="shared" si="35"/>
        <v>5</v>
      </c>
      <c r="CT11" s="36">
        <f t="shared" si="36"/>
        <v>999</v>
      </c>
      <c r="CU11" s="36" t="str">
        <f t="shared" si="37"/>
        <v/>
      </c>
      <c r="CV11" s="36">
        <f t="shared" si="38"/>
        <v>0</v>
      </c>
      <c r="CW11" s="36">
        <f t="shared" si="39"/>
        <v>0</v>
      </c>
      <c r="CX11" s="149" t="str">
        <f t="shared" si="171"/>
        <v/>
      </c>
      <c r="DA11" s="36" t="str">
        <f>D15</f>
        <v/>
      </c>
      <c r="DB11" s="36" t="str">
        <f>E15</f>
        <v/>
      </c>
      <c r="DC11" s="36" t="str">
        <f>H15</f>
        <v/>
      </c>
      <c r="DD11" s="36" t="str">
        <f t="shared" si="40"/>
        <v/>
      </c>
      <c r="DF11" s="36" t="str">
        <f t="shared" si="41"/>
        <v/>
      </c>
      <c r="DG11" s="36" t="str">
        <f t="shared" si="42"/>
        <v/>
      </c>
      <c r="DH11" s="36" t="str">
        <f t="shared" si="43"/>
        <v/>
      </c>
      <c r="DI11" s="36" t="str">
        <f t="shared" si="6"/>
        <v/>
      </c>
      <c r="DJ11" s="36" t="str">
        <f t="shared" si="44"/>
        <v/>
      </c>
      <c r="DL11" s="36" t="str">
        <f t="shared" si="7"/>
        <v/>
      </c>
      <c r="DM11" s="149" t="str">
        <f t="shared" si="45"/>
        <v/>
      </c>
      <c r="DN11" s="36" t="str">
        <f t="shared" si="46"/>
        <v/>
      </c>
      <c r="DO11" s="36" t="str">
        <f t="shared" si="47"/>
        <v/>
      </c>
      <c r="DP11" s="36" t="str">
        <f t="shared" si="48"/>
        <v/>
      </c>
      <c r="DR11" s="36" t="str">
        <f t="shared" si="49"/>
        <v/>
      </c>
      <c r="DS11" s="36" t="str">
        <f t="shared" si="50"/>
        <v/>
      </c>
      <c r="DT11" s="36" t="str">
        <f t="shared" si="51"/>
        <v/>
      </c>
      <c r="DV11" s="36">
        <f>DT9</f>
        <v>2</v>
      </c>
      <c r="DX11" s="152" t="str">
        <f t="shared" si="52"/>
        <v/>
      </c>
      <c r="DY11" s="36" t="str">
        <f t="shared" si="53"/>
        <v/>
      </c>
      <c r="DZ11" s="36" t="str">
        <f t="shared" si="54"/>
        <v/>
      </c>
      <c r="EA11" s="36" t="str">
        <f t="shared" si="55"/>
        <v/>
      </c>
      <c r="EB11" s="173" t="str">
        <f t="shared" si="56"/>
        <v/>
      </c>
      <c r="ED11" s="122">
        <v>5</v>
      </c>
      <c r="EE11" s="36" t="str">
        <f t="shared" si="57"/>
        <v/>
      </c>
      <c r="EF11" s="36">
        <f t="shared" si="58"/>
        <v>0</v>
      </c>
      <c r="EG11" s="36" t="str">
        <f>IF(SUM($BH15:$BJ15)=2,$BH$2,"")</f>
        <v/>
      </c>
      <c r="EH11" s="36" t="str">
        <f t="shared" si="59"/>
        <v/>
      </c>
      <c r="EJ11" s="36">
        <f t="shared" si="60"/>
        <v>999</v>
      </c>
      <c r="EK11" s="36">
        <f t="shared" si="61"/>
        <v>999</v>
      </c>
      <c r="EL11" s="36" t="str">
        <f t="shared" si="62"/>
        <v/>
      </c>
      <c r="EM11" s="36">
        <f t="shared" si="63"/>
        <v>1</v>
      </c>
      <c r="EN11" s="36">
        <f t="shared" si="64"/>
        <v>0</v>
      </c>
      <c r="EQ11" s="36" t="str">
        <f t="shared" si="172"/>
        <v/>
      </c>
      <c r="ER11" s="36">
        <f t="shared" si="65"/>
        <v>0</v>
      </c>
      <c r="ES11" s="36">
        <f t="shared" si="66"/>
        <v>0</v>
      </c>
      <c r="ET11" s="149" t="str">
        <f t="shared" si="67"/>
        <v/>
      </c>
      <c r="EV11" s="36" t="str">
        <f>D15</f>
        <v/>
      </c>
      <c r="EW11" s="36" t="str">
        <f>E15</f>
        <v/>
      </c>
      <c r="EX11" s="36" t="str">
        <f>H15</f>
        <v/>
      </c>
      <c r="EY11" s="36" t="str">
        <f>K15</f>
        <v/>
      </c>
      <c r="EZ11" s="36" t="str">
        <f t="shared" si="68"/>
        <v/>
      </c>
      <c r="FB11" s="36" t="str">
        <f t="shared" si="69"/>
        <v/>
      </c>
      <c r="FC11" s="36" t="str">
        <f t="shared" si="70"/>
        <v/>
      </c>
      <c r="FD11" s="36" t="str">
        <f t="shared" si="71"/>
        <v/>
      </c>
      <c r="FE11" s="36" t="str">
        <f t="shared" si="72"/>
        <v/>
      </c>
      <c r="FF11" s="36" t="str">
        <f t="shared" si="73"/>
        <v/>
      </c>
      <c r="FG11" s="36" t="str">
        <f t="shared" si="74"/>
        <v/>
      </c>
      <c r="FI11" s="36" t="str">
        <f t="shared" si="75"/>
        <v/>
      </c>
      <c r="FJ11" s="36" t="str">
        <f t="shared" si="76"/>
        <v/>
      </c>
      <c r="FL11" s="36" t="str">
        <f t="shared" si="77"/>
        <v/>
      </c>
      <c r="FM11" s="36" t="str">
        <f t="shared" si="78"/>
        <v/>
      </c>
      <c r="FN11" s="36" t="str">
        <f t="shared" si="79"/>
        <v/>
      </c>
      <c r="FO11" s="36" t="str">
        <f t="shared" si="80"/>
        <v/>
      </c>
      <c r="FP11" s="36" t="str">
        <f t="shared" si="81"/>
        <v/>
      </c>
      <c r="FQ11" s="36" t="str">
        <f t="shared" si="82"/>
        <v/>
      </c>
      <c r="FR11" s="173" t="str">
        <f t="shared" si="8"/>
        <v/>
      </c>
      <c r="FT11" s="36">
        <v>5</v>
      </c>
      <c r="FV11" s="36" t="str">
        <f t="shared" si="83"/>
        <v/>
      </c>
      <c r="FW11" s="36" t="str">
        <f t="shared" si="84"/>
        <v/>
      </c>
      <c r="FX11" s="36" t="str">
        <f t="shared" si="85"/>
        <v/>
      </c>
      <c r="FZ11" s="36" t="str">
        <f>FX9</f>
        <v/>
      </c>
      <c r="GA11" s="152"/>
      <c r="GB11" s="122">
        <v>5</v>
      </c>
      <c r="GC11" s="36" t="str">
        <f>IF(D15="","",D15)</f>
        <v/>
      </c>
      <c r="GD11" s="36" t="str">
        <f>IF(E15="","",E15)</f>
        <v/>
      </c>
      <c r="GE11" s="36" t="str">
        <f>IF(H15="","",H15)</f>
        <v/>
      </c>
      <c r="GF11" s="36" t="str">
        <f>IF(K15="","",K15)</f>
        <v/>
      </c>
      <c r="GG11" s="36" t="str">
        <f>IF(N15="","",N15)</f>
        <v/>
      </c>
      <c r="GH11" s="36" t="str">
        <f>IF(Q15="","",Q15)</f>
        <v/>
      </c>
      <c r="GI11" s="36" t="str">
        <f>IF(T15="","",T15)</f>
        <v/>
      </c>
      <c r="GJ11" s="36" t="str">
        <f>IF(W15="","",W15)</f>
        <v/>
      </c>
      <c r="GK11" s="36" t="str">
        <f>IF(C15="","",C15)</f>
        <v/>
      </c>
      <c r="GM11" s="36" t="str">
        <f>IF(F15="","",F15)</f>
        <v/>
      </c>
      <c r="GN11" s="36" t="str">
        <f>IF(I15="","",I15)</f>
        <v/>
      </c>
      <c r="GO11" s="36" t="str">
        <f>IF(L15="","",L15)</f>
        <v/>
      </c>
      <c r="GP11" s="36" t="str">
        <f>IF(O15="","",O15)</f>
        <v/>
      </c>
      <c r="GQ11" s="36" t="str">
        <f>IF(R15="","",R15)</f>
        <v/>
      </c>
      <c r="GR11" s="36" t="str">
        <f>IF(U15="","",U15)</f>
        <v/>
      </c>
      <c r="GS11" s="36" t="str">
        <f>IF(X15="","",X15)</f>
        <v/>
      </c>
      <c r="GU11" s="36" t="str">
        <f>IF(F16="","",F16)</f>
        <v/>
      </c>
      <c r="GV11" s="36" t="str">
        <f>IF(I16="","",I16)</f>
        <v/>
      </c>
      <c r="GW11" s="36" t="str">
        <f>IF(L16="","",L16)</f>
        <v/>
      </c>
      <c r="GX11" s="36" t="str">
        <f>IF(O16="","",O16)</f>
        <v/>
      </c>
      <c r="GY11" s="36" t="str">
        <f>IF(R16="","",R16)</f>
        <v/>
      </c>
      <c r="GZ11" s="36" t="str">
        <f>IF(U16="","",U16)</f>
        <v/>
      </c>
      <c r="HA11" s="36" t="str">
        <f>IF(X16="","",X16)</f>
        <v/>
      </c>
      <c r="HB11" s="152"/>
      <c r="HC11" s="122">
        <v>5</v>
      </c>
      <c r="HD11" s="36" t="str">
        <f>IF(SUM($BH15:$BK15)&gt;=2,$BH$2,"")</f>
        <v/>
      </c>
      <c r="HE11" s="36" t="str">
        <f t="shared" si="86"/>
        <v/>
      </c>
      <c r="HF11" s="36" t="str">
        <f t="shared" si="87"/>
        <v/>
      </c>
      <c r="HG11" s="36" t="str">
        <f t="shared" si="88"/>
        <v/>
      </c>
      <c r="HH11" s="36" t="str">
        <f t="shared" si="89"/>
        <v/>
      </c>
      <c r="HI11" s="36" t="str">
        <f t="shared" si="90"/>
        <v/>
      </c>
      <c r="HK11" s="36" t="str">
        <f t="shared" si="91"/>
        <v/>
      </c>
      <c r="HM11" s="36">
        <f t="shared" si="92"/>
        <v>999</v>
      </c>
      <c r="HN11" s="36">
        <f t="shared" si="93"/>
        <v>999</v>
      </c>
      <c r="HO11" s="36" t="str">
        <f t="shared" si="9"/>
        <v/>
      </c>
      <c r="HQ11" s="36">
        <f t="shared" si="94"/>
        <v>1</v>
      </c>
      <c r="HR11" s="36">
        <f t="shared" si="95"/>
        <v>0</v>
      </c>
      <c r="HS11" s="36" t="str">
        <f t="shared" si="173"/>
        <v/>
      </c>
      <c r="HT11" s="36">
        <f t="shared" si="96"/>
        <v>0</v>
      </c>
      <c r="HU11" s="149" t="str">
        <f t="shared" si="97"/>
        <v/>
      </c>
      <c r="HV11" s="138"/>
      <c r="HW11" s="36" t="str">
        <f t="shared" si="98"/>
        <v/>
      </c>
      <c r="HX11" s="36" t="str">
        <f t="shared" si="99"/>
        <v/>
      </c>
      <c r="HY11" s="36" t="str">
        <f t="shared" si="100"/>
        <v/>
      </c>
      <c r="HZ11" s="36" t="str">
        <f t="shared" si="101"/>
        <v/>
      </c>
      <c r="IA11" s="36" t="str">
        <f t="shared" si="102"/>
        <v/>
      </c>
      <c r="IC11" s="36" t="str">
        <f t="shared" si="174"/>
        <v/>
      </c>
      <c r="ID11" s="36" t="str">
        <f t="shared" si="103"/>
        <v/>
      </c>
      <c r="IE11" s="36" t="str">
        <f t="shared" si="104"/>
        <v/>
      </c>
      <c r="IF11" s="36" t="str">
        <f t="shared" si="105"/>
        <v/>
      </c>
      <c r="IG11" s="36" t="str">
        <f t="shared" si="106"/>
        <v/>
      </c>
      <c r="IH11" s="149" t="str">
        <f t="shared" si="107"/>
        <v/>
      </c>
      <c r="II11" s="138"/>
      <c r="IJ11" s="36" t="str">
        <f t="shared" si="108"/>
        <v/>
      </c>
      <c r="IL11" s="36" t="str">
        <f t="shared" si="109"/>
        <v/>
      </c>
      <c r="IM11" s="36" t="str">
        <f t="shared" si="110"/>
        <v/>
      </c>
      <c r="IN11" s="36" t="str">
        <f t="shared" si="111"/>
        <v/>
      </c>
      <c r="IP11" s="36" t="str">
        <f>IN9</f>
        <v/>
      </c>
      <c r="IQ11" s="152"/>
      <c r="IR11" s="122">
        <v>5</v>
      </c>
      <c r="IS11" s="36" t="str">
        <f>IF(SUM($BH15:$BL15)&gt;1,$BH$2,"")</f>
        <v/>
      </c>
      <c r="IT11" s="36" t="str">
        <f t="shared" si="112"/>
        <v/>
      </c>
      <c r="IU11" s="36" t="str">
        <f t="shared" si="113"/>
        <v/>
      </c>
      <c r="IV11" s="36" t="str">
        <f t="shared" si="114"/>
        <v/>
      </c>
      <c r="IW11" s="36" t="str">
        <f t="shared" si="115"/>
        <v/>
      </c>
      <c r="IX11" s="36" t="str">
        <f t="shared" si="116"/>
        <v/>
      </c>
      <c r="IY11" s="36" t="str">
        <f t="shared" si="117"/>
        <v/>
      </c>
      <c r="IZ11" s="36" t="str">
        <f t="shared" si="118"/>
        <v/>
      </c>
      <c r="JB11" s="36">
        <f t="shared" si="119"/>
        <v>999</v>
      </c>
      <c r="JC11" s="36">
        <f t="shared" si="120"/>
        <v>999</v>
      </c>
      <c r="JD11" s="36" t="str">
        <f t="shared" si="10"/>
        <v/>
      </c>
      <c r="JF11" s="36">
        <f t="shared" si="121"/>
        <v>1</v>
      </c>
      <c r="JG11" s="36">
        <f t="shared" si="122"/>
        <v>0</v>
      </c>
      <c r="JH11" s="36" t="str">
        <f t="shared" si="175"/>
        <v/>
      </c>
      <c r="JI11" s="36">
        <f t="shared" si="123"/>
        <v>0</v>
      </c>
      <c r="JJ11" s="149" t="str">
        <f t="shared" si="124"/>
        <v/>
      </c>
      <c r="JL11" s="36" t="str">
        <f t="shared" si="176"/>
        <v/>
      </c>
      <c r="JM11" s="36" t="str">
        <f t="shared" si="125"/>
        <v/>
      </c>
      <c r="JN11" s="36" t="str">
        <f t="shared" si="126"/>
        <v/>
      </c>
      <c r="JO11" s="36" t="str">
        <f t="shared" si="127"/>
        <v/>
      </c>
      <c r="JP11" s="36" t="str">
        <f t="shared" si="128"/>
        <v/>
      </c>
      <c r="JQ11" s="36" t="str">
        <f t="shared" si="129"/>
        <v/>
      </c>
      <c r="JS11" s="36" t="str">
        <f t="shared" si="130"/>
        <v/>
      </c>
      <c r="JT11" s="36" t="str">
        <f t="shared" si="177"/>
        <v/>
      </c>
      <c r="JU11" s="36" t="str">
        <f t="shared" si="11"/>
        <v/>
      </c>
      <c r="JV11" s="36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36" t="str">
        <f t="shared" si="131"/>
        <v/>
      </c>
      <c r="JX11" s="149" t="str">
        <f t="shared" si="132"/>
        <v/>
      </c>
      <c r="JY11" s="138"/>
      <c r="JZ11" s="36" t="str">
        <f t="shared" si="133"/>
        <v/>
      </c>
      <c r="KB11" s="36" t="str">
        <f t="shared" si="134"/>
        <v/>
      </c>
      <c r="KC11" s="36" t="str">
        <f t="shared" si="135"/>
        <v/>
      </c>
      <c r="KD11" s="36" t="str">
        <f t="shared" si="136"/>
        <v/>
      </c>
      <c r="KF11" s="36" t="str">
        <f>KD9</f>
        <v/>
      </c>
      <c r="KG11" s="152"/>
      <c r="KH11" s="122">
        <v>5</v>
      </c>
      <c r="KI11" t="str">
        <f>IF(SUM($BH15:$BM15)&gt;1,$BH$2,"")</f>
        <v/>
      </c>
      <c r="KJ11" s="36" t="str">
        <f t="shared" si="137"/>
        <v/>
      </c>
      <c r="KK11" s="36" t="str">
        <f t="shared" si="138"/>
        <v/>
      </c>
      <c r="KL11" s="36" t="str">
        <f t="shared" si="139"/>
        <v/>
      </c>
      <c r="KM11" s="36" t="str">
        <f t="shared" si="140"/>
        <v/>
      </c>
      <c r="KN11" s="36" t="str">
        <f t="shared" si="141"/>
        <v/>
      </c>
      <c r="KO11" s="36" t="str">
        <f t="shared" si="142"/>
        <v/>
      </c>
      <c r="KP11" s="36" t="str">
        <f t="shared" si="143"/>
        <v/>
      </c>
      <c r="KQ11" s="36" t="str">
        <f t="shared" si="144"/>
        <v/>
      </c>
      <c r="KS11" s="36">
        <f t="shared" si="145"/>
        <v>999</v>
      </c>
      <c r="KT11" s="36">
        <f t="shared" si="146"/>
        <v>999</v>
      </c>
      <c r="KU11" s="36" t="str">
        <f t="shared" si="12"/>
        <v/>
      </c>
      <c r="KW11" s="36">
        <f t="shared" si="147"/>
        <v>1</v>
      </c>
      <c r="KX11" s="36">
        <f t="shared" si="148"/>
        <v>0</v>
      </c>
      <c r="KY11" s="36" t="str">
        <f t="shared" si="178"/>
        <v/>
      </c>
      <c r="KZ11" s="36">
        <f t="shared" si="149"/>
        <v>0</v>
      </c>
      <c r="LA11" s="149" t="str">
        <f t="shared" si="150"/>
        <v/>
      </c>
      <c r="LC11" s="36" t="str">
        <f t="shared" si="151"/>
        <v/>
      </c>
      <c r="LD11" s="36" t="str">
        <f t="shared" si="152"/>
        <v/>
      </c>
      <c r="LE11" s="36" t="str">
        <f t="shared" si="153"/>
        <v/>
      </c>
      <c r="LF11" s="36" t="str">
        <f t="shared" si="154"/>
        <v/>
      </c>
      <c r="LG11" s="36" t="str">
        <f t="shared" si="155"/>
        <v/>
      </c>
      <c r="LH11" s="36" t="str">
        <f t="shared" si="156"/>
        <v/>
      </c>
      <c r="LI11" s="36" t="str">
        <f t="shared" si="157"/>
        <v/>
      </c>
      <c r="LJ11" s="36" t="str">
        <f t="shared" si="158"/>
        <v/>
      </c>
      <c r="LK11" s="36" t="str">
        <f t="shared" si="159"/>
        <v/>
      </c>
      <c r="LL11" s="36" t="str">
        <f t="shared" si="160"/>
        <v/>
      </c>
      <c r="LM11" s="36" t="str">
        <f t="shared" si="161"/>
        <v/>
      </c>
      <c r="LN11" s="36" t="str">
        <f t="shared" si="162"/>
        <v/>
      </c>
      <c r="LO11" s="149" t="str">
        <f t="shared" si="163"/>
        <v/>
      </c>
      <c r="LP11" s="138"/>
      <c r="LQ11" s="36" t="str">
        <f t="shared" si="164"/>
        <v/>
      </c>
      <c r="LS11" s="36" t="str">
        <f t="shared" si="165"/>
        <v/>
      </c>
      <c r="LT11" s="36" t="str">
        <f t="shared" si="166"/>
        <v/>
      </c>
      <c r="LU11" s="36" t="str">
        <f t="shared" si="167"/>
        <v/>
      </c>
      <c r="LW11" s="36" t="str">
        <f>LU9</f>
        <v/>
      </c>
      <c r="LX11" s="152"/>
    </row>
    <row r="12" spans="1:336" ht="14.25" customHeight="1" thickBot="1" x14ac:dyDescent="0.3">
      <c r="A12" s="365"/>
      <c r="B12" s="360"/>
      <c r="C12" s="363"/>
      <c r="D12" s="362"/>
      <c r="E12" s="346"/>
      <c r="F12" s="29"/>
      <c r="G12" s="30"/>
      <c r="H12" s="346"/>
      <c r="I12" s="29">
        <v>4</v>
      </c>
      <c r="J12" s="30"/>
      <c r="K12" s="334"/>
      <c r="L12" s="29">
        <v>4</v>
      </c>
      <c r="M12" s="30"/>
      <c r="N12" s="334"/>
      <c r="O12" s="29"/>
      <c r="P12" s="30"/>
      <c r="Q12" s="334"/>
      <c r="R12" s="29"/>
      <c r="S12" s="30"/>
      <c r="T12" s="334"/>
      <c r="U12" s="29"/>
      <c r="V12" s="30"/>
      <c r="W12" s="337"/>
      <c r="X12" s="29"/>
      <c r="Y12" s="30"/>
      <c r="Z12" s="338"/>
      <c r="AA12" s="335"/>
      <c r="AB12" s="336"/>
      <c r="AC12" s="357"/>
      <c r="AD12" s="327"/>
      <c r="AE12" s="328"/>
      <c r="AG12" s="252">
        <v>6</v>
      </c>
      <c r="AH12" s="138" t="str">
        <f t="shared" si="13"/>
        <v/>
      </c>
      <c r="AI12" s="177"/>
      <c r="AJ12" s="36" t="str">
        <f t="shared" si="14"/>
        <v/>
      </c>
      <c r="AK12" s="149" t="str">
        <f t="shared" si="15"/>
        <v/>
      </c>
      <c r="AM12" s="138" t="str">
        <f t="shared" si="16"/>
        <v/>
      </c>
      <c r="AN12" s="177"/>
      <c r="AO12" s="36" t="str">
        <f t="shared" si="3"/>
        <v/>
      </c>
      <c r="AP12" s="149" t="str">
        <f t="shared" si="17"/>
        <v/>
      </c>
      <c r="AR12" s="138" t="str">
        <f t="shared" si="18"/>
        <v/>
      </c>
      <c r="AS12" s="177"/>
      <c r="AT12" s="36" t="str">
        <f t="shared" si="19"/>
        <v/>
      </c>
      <c r="AU12" s="149" t="str">
        <f t="shared" si="179"/>
        <v/>
      </c>
      <c r="AW12" s="138" t="str">
        <f t="shared" si="4"/>
        <v/>
      </c>
      <c r="AX12" s="177"/>
      <c r="AY12" s="36" t="str">
        <f t="shared" si="20"/>
        <v/>
      </c>
      <c r="AZ12" s="149" t="str">
        <f t="shared" si="21"/>
        <v/>
      </c>
      <c r="BB12" s="138" t="str">
        <f t="shared" si="22"/>
        <v/>
      </c>
      <c r="BC12" s="177"/>
      <c r="BD12" s="36" t="str">
        <f t="shared" si="23"/>
        <v/>
      </c>
      <c r="BE12" s="149" t="str">
        <f t="shared" si="24"/>
        <v/>
      </c>
      <c r="BH12" s="36" t="str">
        <f>IF(E12=$BQ$2,"",(IF(A12="","",(IF(F12="","",(IF(F12&lt;2,1,0)))))))</f>
        <v/>
      </c>
      <c r="BI12" s="36" t="str">
        <f>IF(H12=$BQ$2,"",(IF(A12="","",(IF(I12="","",(IF(I12&lt;2,1,0)))))))</f>
        <v/>
      </c>
      <c r="BJ12" s="36" t="str">
        <f>IF(K12=$BQ$2,"",(IF(A12="","",(IF(L12="","",(IF(L12&lt;2,1,0)))))))</f>
        <v/>
      </c>
      <c r="BK12" s="36" t="str">
        <f>IF(W12=$BQ$2,"",(IF(A12="","",(IF(X12="","",(IF(X12&lt;2,1,0)))))))</f>
        <v/>
      </c>
      <c r="BP12" s="36" t="str">
        <f>IF(BH12="","",(SUM(BH12:BK12)))</f>
        <v/>
      </c>
      <c r="BR12" s="36" t="str">
        <f>BP17</f>
        <v/>
      </c>
      <c r="BS12" s="36" t="str">
        <f>D17</f>
        <v/>
      </c>
      <c r="BT12" s="36" t="str">
        <f>IF(SUM(BH17,BI17)=2,$BH$2,"")</f>
        <v/>
      </c>
      <c r="BV12" s="36">
        <f t="shared" si="5"/>
        <v>999</v>
      </c>
      <c r="BW12" s="36">
        <f t="shared" si="25"/>
        <v>999</v>
      </c>
      <c r="BX12" s="36">
        <f t="shared" si="168"/>
        <v>6</v>
      </c>
      <c r="BY12" s="36">
        <f t="shared" si="26"/>
        <v>999</v>
      </c>
      <c r="CB12" s="122">
        <v>6</v>
      </c>
      <c r="CC12" s="36">
        <f>IF(D17="",0,D17)</f>
        <v>0</v>
      </c>
      <c r="CD12" s="36">
        <f t="shared" si="27"/>
        <v>0</v>
      </c>
      <c r="CE12" s="36">
        <f t="shared" si="28"/>
        <v>0</v>
      </c>
      <c r="CH12" s="36">
        <f t="shared" si="169"/>
        <v>0</v>
      </c>
      <c r="CI12" s="36">
        <f t="shared" si="29"/>
        <v>0</v>
      </c>
      <c r="CJ12" s="36">
        <f t="shared" si="30"/>
        <v>0</v>
      </c>
      <c r="CM12" s="36">
        <f t="shared" si="170"/>
        <v>0</v>
      </c>
      <c r="CO12" s="36">
        <f t="shared" si="31"/>
        <v>0</v>
      </c>
      <c r="CP12" s="36" t="str">
        <f t="shared" si="32"/>
        <v/>
      </c>
      <c r="CQ12" s="36">
        <f t="shared" si="33"/>
        <v>999</v>
      </c>
      <c r="CR12" s="36">
        <f t="shared" si="34"/>
        <v>6</v>
      </c>
      <c r="CS12" s="36">
        <f t="shared" si="35"/>
        <v>6</v>
      </c>
      <c r="CT12" s="36">
        <f t="shared" si="36"/>
        <v>999</v>
      </c>
      <c r="CU12" s="36" t="str">
        <f t="shared" si="37"/>
        <v/>
      </c>
      <c r="CV12" s="36">
        <f t="shared" si="38"/>
        <v>0</v>
      </c>
      <c r="CW12" s="36">
        <f t="shared" si="39"/>
        <v>0</v>
      </c>
      <c r="CX12" s="149" t="str">
        <f t="shared" si="171"/>
        <v/>
      </c>
      <c r="DA12" s="36" t="str">
        <f>D17</f>
        <v/>
      </c>
      <c r="DB12" s="36" t="str">
        <f>E17</f>
        <v/>
      </c>
      <c r="DC12" s="36" t="str">
        <f>H17</f>
        <v/>
      </c>
      <c r="DD12" s="36" t="str">
        <f t="shared" si="40"/>
        <v/>
      </c>
      <c r="DF12" s="36" t="str">
        <f t="shared" si="41"/>
        <v/>
      </c>
      <c r="DG12" s="36" t="str">
        <f t="shared" si="42"/>
        <v/>
      </c>
      <c r="DH12" s="36" t="str">
        <f t="shared" si="43"/>
        <v/>
      </c>
      <c r="DI12" s="36" t="str">
        <f t="shared" si="6"/>
        <v/>
      </c>
      <c r="DJ12" s="36" t="str">
        <f t="shared" si="44"/>
        <v/>
      </c>
      <c r="DL12" s="36" t="str">
        <f t="shared" si="7"/>
        <v/>
      </c>
      <c r="DM12" s="149" t="str">
        <f t="shared" si="45"/>
        <v/>
      </c>
      <c r="DN12" s="36" t="str">
        <f t="shared" si="46"/>
        <v/>
      </c>
      <c r="DO12" s="36" t="str">
        <f t="shared" si="47"/>
        <v/>
      </c>
      <c r="DP12" s="36" t="str">
        <f t="shared" si="48"/>
        <v/>
      </c>
      <c r="DR12" s="36" t="str">
        <f t="shared" si="49"/>
        <v/>
      </c>
      <c r="DS12" s="36" t="str">
        <f t="shared" si="50"/>
        <v/>
      </c>
      <c r="DT12" s="36" t="str">
        <f t="shared" si="51"/>
        <v/>
      </c>
      <c r="DX12" s="152" t="str">
        <f t="shared" si="52"/>
        <v/>
      </c>
      <c r="DY12" s="36" t="str">
        <f t="shared" si="53"/>
        <v/>
      </c>
      <c r="DZ12" s="36" t="str">
        <f t="shared" si="54"/>
        <v/>
      </c>
      <c r="EA12" s="36" t="str">
        <f t="shared" si="55"/>
        <v/>
      </c>
      <c r="EB12" s="173" t="str">
        <f t="shared" si="56"/>
        <v/>
      </c>
      <c r="ED12" s="122">
        <v>6</v>
      </c>
      <c r="EE12" s="36" t="str">
        <f t="shared" si="57"/>
        <v/>
      </c>
      <c r="EF12" s="36">
        <f t="shared" si="58"/>
        <v>0</v>
      </c>
      <c r="EG12" s="36" t="str">
        <f>IF(SUM($BH17:$BJ17)=2,$BH$2,"")</f>
        <v/>
      </c>
      <c r="EH12" s="36" t="str">
        <f t="shared" si="59"/>
        <v/>
      </c>
      <c r="EJ12" s="36">
        <f t="shared" si="60"/>
        <v>999</v>
      </c>
      <c r="EK12" s="36">
        <f t="shared" si="61"/>
        <v>999</v>
      </c>
      <c r="EL12" s="36" t="str">
        <f t="shared" si="62"/>
        <v/>
      </c>
      <c r="EM12" s="36">
        <f t="shared" si="63"/>
        <v>1</v>
      </c>
      <c r="EN12" s="36">
        <f t="shared" si="64"/>
        <v>0</v>
      </c>
      <c r="EQ12" s="36" t="str">
        <f t="shared" si="172"/>
        <v/>
      </c>
      <c r="ER12" s="36">
        <f t="shared" si="65"/>
        <v>0</v>
      </c>
      <c r="ES12" s="36">
        <f t="shared" si="66"/>
        <v>0</v>
      </c>
      <c r="ET12" s="149" t="str">
        <f t="shared" si="67"/>
        <v/>
      </c>
      <c r="EV12" s="36" t="str">
        <f>D17</f>
        <v/>
      </c>
      <c r="EW12" s="36" t="str">
        <f>E17</f>
        <v/>
      </c>
      <c r="EX12" s="36" t="str">
        <f>H17</f>
        <v/>
      </c>
      <c r="EY12" s="36" t="str">
        <f>K17</f>
        <v/>
      </c>
      <c r="EZ12" s="36" t="str">
        <f t="shared" si="68"/>
        <v/>
      </c>
      <c r="FB12" s="36" t="str">
        <f t="shared" si="69"/>
        <v/>
      </c>
      <c r="FC12" s="36" t="str">
        <f t="shared" si="70"/>
        <v/>
      </c>
      <c r="FD12" s="36" t="str">
        <f t="shared" si="71"/>
        <v/>
      </c>
      <c r="FE12" s="36" t="str">
        <f t="shared" si="72"/>
        <v/>
      </c>
      <c r="FF12" s="36" t="str">
        <f t="shared" si="73"/>
        <v/>
      </c>
      <c r="FG12" s="36" t="str">
        <f t="shared" si="74"/>
        <v/>
      </c>
      <c r="FI12" s="36" t="str">
        <f t="shared" si="75"/>
        <v/>
      </c>
      <c r="FJ12" s="36" t="str">
        <f t="shared" si="76"/>
        <v/>
      </c>
      <c r="FL12" s="36" t="str">
        <f t="shared" si="77"/>
        <v/>
      </c>
      <c r="FM12" s="36" t="str">
        <f t="shared" si="78"/>
        <v/>
      </c>
      <c r="FN12" s="36" t="str">
        <f t="shared" si="79"/>
        <v/>
      </c>
      <c r="FO12" s="36" t="str">
        <f t="shared" si="80"/>
        <v/>
      </c>
      <c r="FP12" s="36" t="str">
        <f t="shared" si="81"/>
        <v/>
      </c>
      <c r="FQ12" s="36" t="str">
        <f t="shared" si="82"/>
        <v/>
      </c>
      <c r="FR12" s="173" t="str">
        <f t="shared" si="8"/>
        <v/>
      </c>
      <c r="FT12" s="36">
        <v>6</v>
      </c>
      <c r="FV12" s="36" t="str">
        <f t="shared" si="83"/>
        <v/>
      </c>
      <c r="FW12" s="36" t="str">
        <f t="shared" si="84"/>
        <v/>
      </c>
      <c r="FX12" s="36" t="str">
        <f t="shared" si="85"/>
        <v/>
      </c>
      <c r="GA12" s="152"/>
      <c r="GB12" s="122">
        <v>6</v>
      </c>
      <c r="GC12" s="36" t="str">
        <f>IF(D17="","",D17)</f>
        <v/>
      </c>
      <c r="GD12" s="36" t="str">
        <f>IF(E17="","",E17)</f>
        <v/>
      </c>
      <c r="GE12" s="36" t="str">
        <f>IF(H17="","",H17)</f>
        <v/>
      </c>
      <c r="GF12" s="36" t="str">
        <f>IF(K17="","",K17)</f>
        <v/>
      </c>
      <c r="GG12" s="36" t="str">
        <f>IF(N17="","",N17)</f>
        <v/>
      </c>
      <c r="GH12" s="36" t="str">
        <f>IF(Q17="","",Q17)</f>
        <v/>
      </c>
      <c r="GI12" s="36" t="str">
        <f>IF(T17="","",T17)</f>
        <v/>
      </c>
      <c r="GJ12" s="36" t="str">
        <f>IF(W17="","",W17)</f>
        <v/>
      </c>
      <c r="GK12" s="36" t="str">
        <f>IF(C17="","",C17)</f>
        <v/>
      </c>
      <c r="GM12" s="36" t="str">
        <f>IF(F17="","",F17)</f>
        <v/>
      </c>
      <c r="GN12" s="36" t="str">
        <f>IF(I17="","",I17)</f>
        <v/>
      </c>
      <c r="GO12" s="36" t="str">
        <f>IF(L17="","",L17)</f>
        <v/>
      </c>
      <c r="GP12" s="36" t="str">
        <f>IF(O17="","",O17)</f>
        <v/>
      </c>
      <c r="GQ12" s="36" t="str">
        <f>IF(R17="","",R17)</f>
        <v/>
      </c>
      <c r="GR12" s="36" t="str">
        <f>IF(U17="","",U17)</f>
        <v/>
      </c>
      <c r="GS12" s="36" t="str">
        <f>IF(X17="","",X17)</f>
        <v/>
      </c>
      <c r="GU12" s="36" t="str">
        <f>IF(F18="","",F18)</f>
        <v/>
      </c>
      <c r="GV12" s="36" t="str">
        <f>IF(I18="","",I18)</f>
        <v/>
      </c>
      <c r="GW12" s="36" t="str">
        <f>IF(L18="","",L18)</f>
        <v/>
      </c>
      <c r="GX12" s="36" t="str">
        <f>IF(O18="","",O18)</f>
        <v/>
      </c>
      <c r="GY12" s="36" t="str">
        <f>IF(R18="","",R18)</f>
        <v/>
      </c>
      <c r="GZ12" s="36" t="str">
        <f>IF(U18="","",U18)</f>
        <v/>
      </c>
      <c r="HA12" s="36" t="str">
        <f>IF(X18="","",X18)</f>
        <v/>
      </c>
      <c r="HB12" s="152"/>
      <c r="HC12" s="122">
        <v>6</v>
      </c>
      <c r="HD12" s="36" t="str">
        <f>IF(SUM($BH17:$BK17)&gt;=2,$BH$2,"")</f>
        <v/>
      </c>
      <c r="HE12" s="36" t="str">
        <f t="shared" si="86"/>
        <v/>
      </c>
      <c r="HF12" s="36" t="str">
        <f t="shared" si="87"/>
        <v/>
      </c>
      <c r="HG12" s="36" t="str">
        <f t="shared" si="88"/>
        <v/>
      </c>
      <c r="HH12" s="36" t="str">
        <f t="shared" si="89"/>
        <v/>
      </c>
      <c r="HI12" s="36" t="str">
        <f t="shared" si="90"/>
        <v/>
      </c>
      <c r="HK12" s="36" t="str">
        <f t="shared" si="91"/>
        <v/>
      </c>
      <c r="HM12" s="36">
        <f t="shared" si="92"/>
        <v>999</v>
      </c>
      <c r="HN12" s="36">
        <f t="shared" si="93"/>
        <v>999</v>
      </c>
      <c r="HO12" s="36" t="str">
        <f t="shared" si="9"/>
        <v/>
      </c>
      <c r="HQ12" s="36">
        <f t="shared" si="94"/>
        <v>1</v>
      </c>
      <c r="HR12" s="36">
        <f t="shared" si="95"/>
        <v>0</v>
      </c>
      <c r="HS12" s="36" t="str">
        <f t="shared" si="173"/>
        <v/>
      </c>
      <c r="HT12" s="36">
        <f t="shared" si="96"/>
        <v>0</v>
      </c>
      <c r="HU12" s="149" t="str">
        <f t="shared" si="97"/>
        <v/>
      </c>
      <c r="HV12" s="138"/>
      <c r="HW12" s="36" t="str">
        <f t="shared" si="98"/>
        <v/>
      </c>
      <c r="HX12" s="36" t="str">
        <f t="shared" si="99"/>
        <v/>
      </c>
      <c r="HY12" s="36" t="str">
        <f t="shared" si="100"/>
        <v/>
      </c>
      <c r="HZ12" s="36" t="str">
        <f t="shared" si="101"/>
        <v/>
      </c>
      <c r="IA12" s="36" t="str">
        <f t="shared" si="102"/>
        <v/>
      </c>
      <c r="IC12" s="36" t="str">
        <f t="shared" si="174"/>
        <v/>
      </c>
      <c r="ID12" s="36" t="str">
        <f t="shared" si="103"/>
        <v/>
      </c>
      <c r="IE12" s="36" t="str">
        <f t="shared" si="104"/>
        <v/>
      </c>
      <c r="IF12" s="36" t="str">
        <f t="shared" si="105"/>
        <v/>
      </c>
      <c r="IG12" s="36" t="str">
        <f t="shared" si="106"/>
        <v/>
      </c>
      <c r="IH12" s="149" t="str">
        <f t="shared" si="107"/>
        <v/>
      </c>
      <c r="II12" s="138"/>
      <c r="IJ12" s="36" t="str">
        <f t="shared" si="108"/>
        <v/>
      </c>
      <c r="IL12" s="36" t="str">
        <f t="shared" si="109"/>
        <v/>
      </c>
      <c r="IM12" s="36" t="str">
        <f t="shared" si="110"/>
        <v/>
      </c>
      <c r="IN12" s="36" t="str">
        <f t="shared" si="111"/>
        <v/>
      </c>
      <c r="IQ12" s="152"/>
      <c r="IR12" s="122">
        <v>6</v>
      </c>
      <c r="IS12" s="36" t="str">
        <f>IF(SUM($BH17:$BL17)&gt;1,$BH$2,"")</f>
        <v/>
      </c>
      <c r="IT12" s="36" t="str">
        <f t="shared" si="112"/>
        <v/>
      </c>
      <c r="IU12" s="36" t="str">
        <f t="shared" si="113"/>
        <v/>
      </c>
      <c r="IV12" s="36" t="str">
        <f t="shared" si="114"/>
        <v/>
      </c>
      <c r="IW12" s="36" t="str">
        <f t="shared" si="115"/>
        <v/>
      </c>
      <c r="IX12" s="36" t="str">
        <f t="shared" si="116"/>
        <v/>
      </c>
      <c r="IY12" s="36" t="str">
        <f t="shared" si="117"/>
        <v/>
      </c>
      <c r="IZ12" s="36" t="str">
        <f t="shared" si="118"/>
        <v/>
      </c>
      <c r="JB12" s="36">
        <f t="shared" si="119"/>
        <v>999</v>
      </c>
      <c r="JC12" s="36">
        <f t="shared" si="120"/>
        <v>999</v>
      </c>
      <c r="JD12" s="36" t="str">
        <f t="shared" si="10"/>
        <v/>
      </c>
      <c r="JF12" s="36">
        <f t="shared" si="121"/>
        <v>1</v>
      </c>
      <c r="JG12" s="36">
        <f t="shared" si="122"/>
        <v>0</v>
      </c>
      <c r="JH12" s="36" t="str">
        <f t="shared" si="175"/>
        <v/>
      </c>
      <c r="JI12" s="36">
        <f t="shared" si="123"/>
        <v>0</v>
      </c>
      <c r="JJ12" s="149" t="str">
        <f t="shared" si="124"/>
        <v/>
      </c>
      <c r="JL12" s="36" t="str">
        <f t="shared" si="176"/>
        <v/>
      </c>
      <c r="JM12" s="36" t="str">
        <f t="shared" si="125"/>
        <v/>
      </c>
      <c r="JN12" s="36" t="str">
        <f t="shared" si="126"/>
        <v/>
      </c>
      <c r="JO12" s="36" t="str">
        <f t="shared" si="127"/>
        <v/>
      </c>
      <c r="JP12" s="36" t="str">
        <f t="shared" si="128"/>
        <v/>
      </c>
      <c r="JQ12" s="36" t="str">
        <f t="shared" si="129"/>
        <v/>
      </c>
      <c r="JS12" s="36" t="str">
        <f t="shared" si="130"/>
        <v/>
      </c>
      <c r="JT12" s="36" t="str">
        <f t="shared" si="177"/>
        <v/>
      </c>
      <c r="JU12" s="36" t="str">
        <f t="shared" si="11"/>
        <v/>
      </c>
      <c r="JV12" s="36" t="str">
        <f t="shared" si="180"/>
        <v/>
      </c>
      <c r="JW12" s="36" t="str">
        <f t="shared" si="131"/>
        <v/>
      </c>
      <c r="JX12" s="149" t="str">
        <f t="shared" si="132"/>
        <v/>
      </c>
      <c r="JY12" s="138"/>
      <c r="JZ12" s="36" t="str">
        <f t="shared" si="133"/>
        <v/>
      </c>
      <c r="KB12" s="36" t="str">
        <f t="shared" si="134"/>
        <v/>
      </c>
      <c r="KC12" s="36" t="str">
        <f t="shared" si="135"/>
        <v/>
      </c>
      <c r="KD12" s="36" t="str">
        <f t="shared" si="136"/>
        <v/>
      </c>
      <c r="KG12" s="152"/>
      <c r="KH12" s="122">
        <v>6</v>
      </c>
      <c r="KI12" t="str">
        <f>IF(SUM($BH17:$BM17)&gt;1,$BH$2,"")</f>
        <v/>
      </c>
      <c r="KJ12" s="36" t="str">
        <f t="shared" si="137"/>
        <v/>
      </c>
      <c r="KK12" s="36" t="str">
        <f t="shared" si="138"/>
        <v/>
      </c>
      <c r="KL12" s="36" t="str">
        <f t="shared" si="139"/>
        <v/>
      </c>
      <c r="KM12" s="36" t="str">
        <f t="shared" si="140"/>
        <v/>
      </c>
      <c r="KN12" s="36" t="str">
        <f t="shared" si="141"/>
        <v/>
      </c>
      <c r="KO12" s="36" t="str">
        <f t="shared" si="142"/>
        <v/>
      </c>
      <c r="KP12" s="36" t="str">
        <f t="shared" si="143"/>
        <v/>
      </c>
      <c r="KQ12" s="36" t="str">
        <f t="shared" si="144"/>
        <v/>
      </c>
      <c r="KS12" s="36">
        <f t="shared" si="145"/>
        <v>999</v>
      </c>
      <c r="KT12" s="36">
        <f t="shared" si="146"/>
        <v>999</v>
      </c>
      <c r="KU12" s="36" t="str">
        <f t="shared" si="12"/>
        <v/>
      </c>
      <c r="KW12" s="36">
        <f t="shared" si="147"/>
        <v>1</v>
      </c>
      <c r="KX12" s="36">
        <f t="shared" si="148"/>
        <v>0</v>
      </c>
      <c r="KY12" s="36" t="str">
        <f t="shared" si="178"/>
        <v/>
      </c>
      <c r="KZ12" s="36">
        <f t="shared" si="149"/>
        <v>0</v>
      </c>
      <c r="LA12" s="149" t="str">
        <f t="shared" si="150"/>
        <v/>
      </c>
      <c r="LC12" s="36" t="str">
        <f t="shared" si="151"/>
        <v/>
      </c>
      <c r="LD12" s="36" t="str">
        <f t="shared" si="152"/>
        <v/>
      </c>
      <c r="LE12" s="36" t="str">
        <f t="shared" si="153"/>
        <v/>
      </c>
      <c r="LF12" s="36" t="str">
        <f t="shared" si="154"/>
        <v/>
      </c>
      <c r="LG12" s="36" t="str">
        <f t="shared" si="155"/>
        <v/>
      </c>
      <c r="LH12" s="36" t="str">
        <f t="shared" si="156"/>
        <v/>
      </c>
      <c r="LI12" s="36" t="str">
        <f t="shared" si="157"/>
        <v/>
      </c>
      <c r="LJ12" s="36" t="str">
        <f t="shared" si="158"/>
        <v/>
      </c>
      <c r="LK12" s="36" t="str">
        <f t="shared" si="159"/>
        <v/>
      </c>
      <c r="LL12" s="36" t="str">
        <f t="shared" si="160"/>
        <v/>
      </c>
      <c r="LM12" s="36" t="str">
        <f t="shared" si="161"/>
        <v/>
      </c>
      <c r="LN12" s="36" t="str">
        <f t="shared" si="162"/>
        <v/>
      </c>
      <c r="LO12" s="149" t="str">
        <f t="shared" si="163"/>
        <v/>
      </c>
      <c r="LP12" s="138"/>
      <c r="LQ12" s="36" t="str">
        <f t="shared" si="164"/>
        <v/>
      </c>
      <c r="LS12" s="36" t="str">
        <f t="shared" si="165"/>
        <v/>
      </c>
      <c r="LT12" s="36" t="str">
        <f t="shared" si="166"/>
        <v/>
      </c>
      <c r="LU12" s="36" t="str">
        <f t="shared" si="167"/>
        <v/>
      </c>
      <c r="LX12" s="152"/>
    </row>
    <row r="13" spans="1:336" ht="14.25" customHeight="1" thickBot="1" x14ac:dyDescent="0.3">
      <c r="A13" s="364" t="str">
        <f>'Vážní listina'!HQ13</f>
        <v/>
      </c>
      <c r="B13" s="359" t="str">
        <f>'Vážní listina'!HR13</f>
        <v/>
      </c>
      <c r="C13" s="363" t="str">
        <f>IF(BP13="","",(IF(BP13&gt;1,$BH$2,"")))</f>
        <v/>
      </c>
      <c r="D13" s="361" t="str">
        <f>'Vážní listina'!HK13</f>
        <v/>
      </c>
      <c r="E13" s="343" t="str">
        <f>'Vážní listina'!HL13</f>
        <v/>
      </c>
      <c r="F13" s="26"/>
      <c r="G13" s="32"/>
      <c r="H13" s="334" t="str">
        <f>IF(H5="","",'Vážní listina'!HM13)</f>
        <v/>
      </c>
      <c r="I13" s="26"/>
      <c r="J13" s="32"/>
      <c r="K13" s="334" t="str">
        <f>IF(K5="","",DV13)</f>
        <v/>
      </c>
      <c r="L13" s="26"/>
      <c r="M13" s="32"/>
      <c r="N13" s="334" t="str">
        <f>IF(N5="","",FZ13)</f>
        <v/>
      </c>
      <c r="O13" s="26"/>
      <c r="P13" s="32"/>
      <c r="Q13" s="334" t="str">
        <f>IF(Q5="","",IP13)</f>
        <v/>
      </c>
      <c r="R13" s="26"/>
      <c r="S13" s="32"/>
      <c r="T13" s="334" t="str">
        <f>IF(T5="","",KF13)</f>
        <v/>
      </c>
      <c r="U13" s="26"/>
      <c r="V13" s="32"/>
      <c r="W13" s="337" t="str">
        <f>IF(W5="","",LW13)</f>
        <v/>
      </c>
      <c r="X13" s="26"/>
      <c r="Y13" s="32"/>
      <c r="Z13" s="338" t="str">
        <f>IF(A13="","",(F13+I13+L13+O13+R13+U13+X13))</f>
        <v/>
      </c>
      <c r="AA13" s="335" t="str">
        <f>IF(A13="","",(F14+I14+L14+O14+R14+U14+X14))</f>
        <v/>
      </c>
      <c r="AB13" s="336" t="str">
        <f>IF(A13="","",(G13+J13+M13+P13+S13+V13+Y13))</f>
        <v/>
      </c>
      <c r="AC13" s="356" t="str">
        <f>HF86</f>
        <v/>
      </c>
      <c r="AD13" s="328"/>
      <c r="AE13" s="328" t="str">
        <f>IF(D13="","",(IF('Tabulka finále'!$BK$47=1,(IF('Tabulka finále'!$K$56="","",(IF($AC$5="","",(IF($H$5="","",(FW124))))))),"")))</f>
        <v/>
      </c>
      <c r="AG13" s="252">
        <v>7</v>
      </c>
      <c r="AH13" s="138" t="str">
        <f t="shared" si="13"/>
        <v/>
      </c>
      <c r="AI13" s="177"/>
      <c r="AJ13" s="36" t="str">
        <f t="shared" si="14"/>
        <v/>
      </c>
      <c r="AK13" s="149" t="str">
        <f t="shared" si="15"/>
        <v/>
      </c>
      <c r="AM13" s="138" t="str">
        <f t="shared" si="16"/>
        <v/>
      </c>
      <c r="AN13" s="177"/>
      <c r="AO13" s="36" t="str">
        <f t="shared" si="3"/>
        <v/>
      </c>
      <c r="AP13" s="149" t="str">
        <f t="shared" si="17"/>
        <v/>
      </c>
      <c r="AR13" s="138" t="str">
        <f t="shared" si="18"/>
        <v/>
      </c>
      <c r="AS13" s="177"/>
      <c r="AT13" s="36" t="str">
        <f t="shared" si="19"/>
        <v/>
      </c>
      <c r="AU13" s="149" t="str">
        <f t="shared" si="179"/>
        <v/>
      </c>
      <c r="AW13" s="138" t="str">
        <f t="shared" si="4"/>
        <v/>
      </c>
      <c r="AX13" s="177"/>
      <c r="AY13" s="36" t="str">
        <f t="shared" si="20"/>
        <v/>
      </c>
      <c r="AZ13" s="149" t="str">
        <f t="shared" si="21"/>
        <v/>
      </c>
      <c r="BB13" s="138" t="str">
        <f t="shared" si="22"/>
        <v/>
      </c>
      <c r="BC13" s="177"/>
      <c r="BD13" s="36" t="str">
        <f t="shared" si="23"/>
        <v/>
      </c>
      <c r="BE13" s="149" t="str">
        <f t="shared" si="24"/>
        <v/>
      </c>
      <c r="BG13" s="36">
        <f>IF(A13="",0,1)</f>
        <v>0</v>
      </c>
      <c r="BH13" s="36" t="str">
        <f>(IF(E13="","",(IF(E13=$BQ$2,0,(IF(A13="","",(IF(F13="","",(IF(F13&lt;2,1,0))))))))))</f>
        <v/>
      </c>
      <c r="BI13" s="36" t="str">
        <f>IF(H13=$BQ$2,0,(IF(A13="","",(IF(I13="","",(IF(I13&lt;2,1,0)))))))</f>
        <v/>
      </c>
      <c r="BJ13" s="36" t="str">
        <f>IF(L13="","",(IF(L13&lt;2,1,0)))</f>
        <v/>
      </c>
      <c r="BK13" s="36" t="str">
        <f>IF(O13="","",(IF(O13&lt;2,1,0)))</f>
        <v/>
      </c>
      <c r="BL13" s="36" t="str">
        <f>IF(R13="","",(IF(R13&lt;2,1,0)))</f>
        <v/>
      </c>
      <c r="BM13" s="36" t="str">
        <f>IF(U13="","",(IF(U13&lt;2,1,0)))</f>
        <v/>
      </c>
      <c r="BN13" s="36" t="str">
        <f>IF(X13="","",(IF(X13&lt;2,1,0)))</f>
        <v/>
      </c>
      <c r="BP13" s="36" t="str">
        <f>IF(BG13=0,"",(SUM(BH13:BN13)))</f>
        <v/>
      </c>
      <c r="BR13" s="36" t="str">
        <f>BP19</f>
        <v/>
      </c>
      <c r="BS13" s="36" t="str">
        <f>D19</f>
        <v/>
      </c>
      <c r="BT13" s="36" t="str">
        <f>IF(SUM(BH19,BI19)=2,$BH$2,"")</f>
        <v/>
      </c>
      <c r="BV13" s="36">
        <f t="shared" si="5"/>
        <v>999</v>
      </c>
      <c r="BW13" s="36">
        <f t="shared" si="25"/>
        <v>999</v>
      </c>
      <c r="BX13" s="36">
        <f t="shared" si="168"/>
        <v>7</v>
      </c>
      <c r="BY13" s="36">
        <f t="shared" si="26"/>
        <v>999</v>
      </c>
      <c r="CB13" s="122">
        <v>7</v>
      </c>
      <c r="CC13" s="36">
        <f>IF(D19="",0,D19)</f>
        <v>0</v>
      </c>
      <c r="CD13" s="36">
        <f t="shared" si="27"/>
        <v>0</v>
      </c>
      <c r="CE13" s="36">
        <f t="shared" si="28"/>
        <v>0</v>
      </c>
      <c r="CH13" s="36">
        <f t="shared" si="169"/>
        <v>0</v>
      </c>
      <c r="CI13" s="36">
        <f t="shared" si="29"/>
        <v>0</v>
      </c>
      <c r="CJ13" s="36">
        <f t="shared" si="30"/>
        <v>0</v>
      </c>
      <c r="CM13" s="36">
        <f t="shared" si="170"/>
        <v>0</v>
      </c>
      <c r="CO13" s="36">
        <f t="shared" si="31"/>
        <v>0</v>
      </c>
      <c r="CP13" s="36" t="str">
        <f t="shared" si="32"/>
        <v/>
      </c>
      <c r="CQ13" s="36">
        <f t="shared" si="33"/>
        <v>999</v>
      </c>
      <c r="CR13" s="36">
        <f t="shared" si="34"/>
        <v>7</v>
      </c>
      <c r="CS13" s="36">
        <f t="shared" si="35"/>
        <v>7</v>
      </c>
      <c r="CT13" s="36">
        <f t="shared" si="36"/>
        <v>999</v>
      </c>
      <c r="CU13" s="36" t="str">
        <f t="shared" si="37"/>
        <v/>
      </c>
      <c r="CV13" s="36">
        <f t="shared" si="38"/>
        <v>0</v>
      </c>
      <c r="CW13" s="36">
        <f t="shared" si="39"/>
        <v>0</v>
      </c>
      <c r="CX13" s="149" t="str">
        <f t="shared" si="171"/>
        <v/>
      </c>
      <c r="DA13" s="36" t="str">
        <f>D19</f>
        <v/>
      </c>
      <c r="DB13" s="36" t="str">
        <f>E19</f>
        <v/>
      </c>
      <c r="DC13" s="36" t="str">
        <f>H19</f>
        <v/>
      </c>
      <c r="DD13" s="36" t="str">
        <f t="shared" si="40"/>
        <v/>
      </c>
      <c r="DF13" s="36" t="str">
        <f t="shared" si="41"/>
        <v/>
      </c>
      <c r="DG13" s="36" t="str">
        <f t="shared" si="42"/>
        <v/>
      </c>
      <c r="DH13" s="36" t="str">
        <f t="shared" si="43"/>
        <v/>
      </c>
      <c r="DI13" s="36" t="str">
        <f t="shared" si="6"/>
        <v/>
      </c>
      <c r="DJ13" s="36" t="str">
        <f t="shared" si="44"/>
        <v/>
      </c>
      <c r="DL13" s="36" t="str">
        <f t="shared" si="7"/>
        <v/>
      </c>
      <c r="DM13" s="149" t="str">
        <f t="shared" si="45"/>
        <v/>
      </c>
      <c r="DN13" s="36" t="str">
        <f t="shared" si="46"/>
        <v/>
      </c>
      <c r="DO13" s="36" t="str">
        <f t="shared" si="47"/>
        <v/>
      </c>
      <c r="DP13" s="36" t="str">
        <f t="shared" si="48"/>
        <v/>
      </c>
      <c r="DR13" s="36" t="str">
        <f t="shared" si="49"/>
        <v/>
      </c>
      <c r="DS13" s="36" t="str">
        <f t="shared" si="50"/>
        <v/>
      </c>
      <c r="DT13" s="36" t="str">
        <f t="shared" si="51"/>
        <v/>
      </c>
      <c r="DV13" s="36" t="str">
        <f>DT10</f>
        <v/>
      </c>
      <c r="DX13" s="152" t="str">
        <f t="shared" si="52"/>
        <v/>
      </c>
      <c r="DY13" s="36" t="str">
        <f t="shared" si="53"/>
        <v/>
      </c>
      <c r="DZ13" s="36" t="str">
        <f t="shared" si="54"/>
        <v/>
      </c>
      <c r="EA13" s="36" t="str">
        <f t="shared" si="55"/>
        <v/>
      </c>
      <c r="EB13" s="173" t="str">
        <f t="shared" si="56"/>
        <v/>
      </c>
      <c r="ED13" s="122">
        <v>7</v>
      </c>
      <c r="EE13" s="36" t="str">
        <f t="shared" si="57"/>
        <v/>
      </c>
      <c r="EF13" s="36">
        <f t="shared" si="58"/>
        <v>0</v>
      </c>
      <c r="EG13" s="36" t="str">
        <f>IF(SUM($BH19:$BJ19)=2,$BH$2,"")</f>
        <v/>
      </c>
      <c r="EH13" s="36" t="str">
        <f t="shared" si="59"/>
        <v/>
      </c>
      <c r="EJ13" s="36">
        <f t="shared" si="60"/>
        <v>999</v>
      </c>
      <c r="EK13" s="36">
        <f t="shared" si="61"/>
        <v>999</v>
      </c>
      <c r="EL13" s="36" t="str">
        <f t="shared" si="62"/>
        <v/>
      </c>
      <c r="EM13" s="36">
        <f t="shared" si="63"/>
        <v>1</v>
      </c>
      <c r="EN13" s="36">
        <f t="shared" si="64"/>
        <v>0</v>
      </c>
      <c r="EQ13" s="36" t="str">
        <f t="shared" si="172"/>
        <v/>
      </c>
      <c r="ER13" s="36">
        <f t="shared" si="65"/>
        <v>0</v>
      </c>
      <c r="ES13" s="36">
        <f t="shared" si="66"/>
        <v>0</v>
      </c>
      <c r="ET13" s="149" t="str">
        <f t="shared" si="67"/>
        <v/>
      </c>
      <c r="EV13" s="36" t="str">
        <f>D19</f>
        <v/>
      </c>
      <c r="EW13" s="36" t="str">
        <f>E19</f>
        <v/>
      </c>
      <c r="EX13" s="36" t="str">
        <f>H19</f>
        <v/>
      </c>
      <c r="EY13" s="36" t="str">
        <f>K19</f>
        <v/>
      </c>
      <c r="EZ13" s="36" t="str">
        <f t="shared" si="68"/>
        <v/>
      </c>
      <c r="FB13" s="36" t="str">
        <f t="shared" si="69"/>
        <v/>
      </c>
      <c r="FC13" s="36" t="str">
        <f t="shared" si="70"/>
        <v/>
      </c>
      <c r="FD13" s="36" t="str">
        <f t="shared" si="71"/>
        <v/>
      </c>
      <c r="FE13" s="36" t="str">
        <f t="shared" si="72"/>
        <v/>
      </c>
      <c r="FF13" s="36" t="str">
        <f t="shared" si="73"/>
        <v/>
      </c>
      <c r="FG13" s="36" t="str">
        <f t="shared" si="74"/>
        <v/>
      </c>
      <c r="FI13" s="36" t="str">
        <f t="shared" si="75"/>
        <v/>
      </c>
      <c r="FJ13" s="36" t="str">
        <f t="shared" si="76"/>
        <v/>
      </c>
      <c r="FL13" s="36" t="str">
        <f t="shared" si="77"/>
        <v/>
      </c>
      <c r="FM13" s="36" t="str">
        <f t="shared" si="78"/>
        <v/>
      </c>
      <c r="FN13" s="36" t="str">
        <f t="shared" si="79"/>
        <v/>
      </c>
      <c r="FO13" s="36" t="str">
        <f t="shared" si="80"/>
        <v/>
      </c>
      <c r="FP13" s="36" t="str">
        <f t="shared" si="81"/>
        <v/>
      </c>
      <c r="FQ13" s="36" t="str">
        <f t="shared" si="82"/>
        <v/>
      </c>
      <c r="FR13" s="173" t="str">
        <f t="shared" si="8"/>
        <v/>
      </c>
      <c r="FT13" s="36">
        <v>7</v>
      </c>
      <c r="FV13" s="36" t="str">
        <f t="shared" si="83"/>
        <v/>
      </c>
      <c r="FW13" s="36" t="str">
        <f t="shared" si="84"/>
        <v/>
      </c>
      <c r="FX13" s="36" t="str">
        <f t="shared" si="85"/>
        <v/>
      </c>
      <c r="FZ13" s="36" t="str">
        <f>FX10</f>
        <v/>
      </c>
      <c r="GA13" s="152"/>
      <c r="GB13" s="122">
        <v>7</v>
      </c>
      <c r="GC13" s="36" t="str">
        <f>IF(D19="","",D19)</f>
        <v/>
      </c>
      <c r="GD13" s="36" t="str">
        <f>IF(E19="","",E19)</f>
        <v/>
      </c>
      <c r="GE13" s="36" t="str">
        <f>IF(H19="","",H19)</f>
        <v/>
      </c>
      <c r="GF13" s="36" t="str">
        <f>IF(K19="","",K19)</f>
        <v/>
      </c>
      <c r="GG13" s="36" t="str">
        <f>IF(N19="","",N19)</f>
        <v/>
      </c>
      <c r="GH13" s="36" t="str">
        <f>IF(Q19="","",Q19)</f>
        <v/>
      </c>
      <c r="GI13" s="36" t="str">
        <f>IF(T19="","",T19)</f>
        <v/>
      </c>
      <c r="GJ13" s="36" t="str">
        <f>IF(W19="","",W19)</f>
        <v/>
      </c>
      <c r="GK13" s="36" t="str">
        <f>IF(C19="","",C19)</f>
        <v/>
      </c>
      <c r="GM13" s="36" t="str">
        <f>IF(F19="","",F19)</f>
        <v/>
      </c>
      <c r="GN13" s="36" t="str">
        <f>IF(I19="","",I19)</f>
        <v/>
      </c>
      <c r="GO13" s="36" t="str">
        <f>IF(L19="","",L19)</f>
        <v/>
      </c>
      <c r="GP13" s="36" t="str">
        <f>IF(O19="","",O19)</f>
        <v/>
      </c>
      <c r="GQ13" s="36" t="str">
        <f>IF(R19="","",R19)</f>
        <v/>
      </c>
      <c r="GR13" s="36" t="str">
        <f>IF(U19="","",U19)</f>
        <v/>
      </c>
      <c r="GS13" s="36" t="str">
        <f>IF(X19="","",X19)</f>
        <v/>
      </c>
      <c r="GU13" s="36" t="str">
        <f>IF(F20="","",F20)</f>
        <v/>
      </c>
      <c r="GV13" s="36" t="str">
        <f>IF(I20="","",I20)</f>
        <v/>
      </c>
      <c r="GW13" s="36" t="str">
        <f>IF(L20="","",L20)</f>
        <v/>
      </c>
      <c r="GX13" s="36" t="str">
        <f>IF(O20="","",O20)</f>
        <v/>
      </c>
      <c r="GY13" s="36" t="str">
        <f>IF(R20="","",R20)</f>
        <v/>
      </c>
      <c r="GZ13" s="36" t="str">
        <f>IF(U20="","",U20)</f>
        <v/>
      </c>
      <c r="HA13" s="36" t="str">
        <f>IF(X20="","",X20)</f>
        <v/>
      </c>
      <c r="HB13" s="152"/>
      <c r="HC13" s="122">
        <v>7</v>
      </c>
      <c r="HD13" s="36" t="str">
        <f>IF(SUM($BH19:$BK19)&gt;=2,$BH$2,"")</f>
        <v/>
      </c>
      <c r="HE13" s="36" t="str">
        <f t="shared" si="86"/>
        <v/>
      </c>
      <c r="HF13" s="36" t="str">
        <f t="shared" si="87"/>
        <v/>
      </c>
      <c r="HG13" s="36" t="str">
        <f t="shared" si="88"/>
        <v/>
      </c>
      <c r="HH13" s="36" t="str">
        <f t="shared" si="89"/>
        <v/>
      </c>
      <c r="HI13" s="36" t="str">
        <f t="shared" si="90"/>
        <v/>
      </c>
      <c r="HK13" s="36" t="str">
        <f t="shared" si="91"/>
        <v/>
      </c>
      <c r="HM13" s="36">
        <f t="shared" si="92"/>
        <v>999</v>
      </c>
      <c r="HN13" s="36">
        <f t="shared" si="93"/>
        <v>999</v>
      </c>
      <c r="HO13" s="36" t="str">
        <f t="shared" si="9"/>
        <v/>
      </c>
      <c r="HQ13" s="36">
        <f t="shared" si="94"/>
        <v>1</v>
      </c>
      <c r="HR13" s="36">
        <f t="shared" si="95"/>
        <v>0</v>
      </c>
      <c r="HS13" s="36" t="str">
        <f t="shared" si="173"/>
        <v/>
      </c>
      <c r="HT13" s="36">
        <f t="shared" si="96"/>
        <v>0</v>
      </c>
      <c r="HU13" s="149" t="str">
        <f t="shared" si="97"/>
        <v/>
      </c>
      <c r="HV13" s="138"/>
      <c r="HW13" s="36" t="str">
        <f t="shared" si="98"/>
        <v/>
      </c>
      <c r="HX13" s="36" t="str">
        <f t="shared" si="99"/>
        <v/>
      </c>
      <c r="HY13" s="36" t="str">
        <f t="shared" si="100"/>
        <v/>
      </c>
      <c r="HZ13" s="36" t="str">
        <f t="shared" si="101"/>
        <v/>
      </c>
      <c r="IA13" s="36" t="str">
        <f t="shared" si="102"/>
        <v/>
      </c>
      <c r="IC13" s="36" t="str">
        <f t="shared" si="174"/>
        <v/>
      </c>
      <c r="ID13" s="36" t="str">
        <f t="shared" si="103"/>
        <v/>
      </c>
      <c r="IE13" s="36" t="str">
        <f t="shared" si="104"/>
        <v/>
      </c>
      <c r="IF13" s="36" t="str">
        <f t="shared" si="105"/>
        <v/>
      </c>
      <c r="IG13" s="36" t="str">
        <f t="shared" si="106"/>
        <v/>
      </c>
      <c r="IH13" s="149" t="str">
        <f t="shared" si="107"/>
        <v/>
      </c>
      <c r="II13" s="138"/>
      <c r="IJ13" s="36" t="str">
        <f t="shared" si="108"/>
        <v/>
      </c>
      <c r="IL13" s="36" t="str">
        <f t="shared" si="109"/>
        <v/>
      </c>
      <c r="IM13" s="36" t="str">
        <f t="shared" si="110"/>
        <v/>
      </c>
      <c r="IN13" s="36" t="str">
        <f t="shared" si="111"/>
        <v/>
      </c>
      <c r="IP13" s="36" t="str">
        <f>IN10</f>
        <v/>
      </c>
      <c r="IQ13" s="152"/>
      <c r="IR13" s="122">
        <v>7</v>
      </c>
      <c r="IS13" s="36" t="str">
        <f>IF(SUM($BH19:$BL19)&gt;1,$BH$2,"")</f>
        <v/>
      </c>
      <c r="IT13" s="36" t="str">
        <f t="shared" si="112"/>
        <v/>
      </c>
      <c r="IU13" s="36" t="str">
        <f t="shared" si="113"/>
        <v/>
      </c>
      <c r="IV13" s="36" t="str">
        <f t="shared" si="114"/>
        <v/>
      </c>
      <c r="IW13" s="36" t="str">
        <f t="shared" si="115"/>
        <v/>
      </c>
      <c r="IX13" s="36" t="str">
        <f t="shared" si="116"/>
        <v/>
      </c>
      <c r="IY13" s="36" t="str">
        <f t="shared" si="117"/>
        <v/>
      </c>
      <c r="IZ13" s="36" t="str">
        <f t="shared" si="118"/>
        <v/>
      </c>
      <c r="JB13" s="36">
        <f t="shared" si="119"/>
        <v>999</v>
      </c>
      <c r="JC13" s="36">
        <f t="shared" si="120"/>
        <v>999</v>
      </c>
      <c r="JD13" s="36" t="str">
        <f t="shared" si="10"/>
        <v/>
      </c>
      <c r="JF13" s="36">
        <f t="shared" si="121"/>
        <v>1</v>
      </c>
      <c r="JG13" s="36">
        <f t="shared" si="122"/>
        <v>0</v>
      </c>
      <c r="JH13" s="36" t="str">
        <f t="shared" si="175"/>
        <v/>
      </c>
      <c r="JI13" s="36">
        <f t="shared" si="123"/>
        <v>0</v>
      </c>
      <c r="JJ13" s="149" t="str">
        <f t="shared" si="124"/>
        <v/>
      </c>
      <c r="JL13" s="36" t="str">
        <f t="shared" si="176"/>
        <v/>
      </c>
      <c r="JM13" s="36" t="str">
        <f t="shared" si="125"/>
        <v/>
      </c>
      <c r="JN13" s="36" t="str">
        <f t="shared" si="126"/>
        <v/>
      </c>
      <c r="JO13" s="36" t="str">
        <f t="shared" si="127"/>
        <v/>
      </c>
      <c r="JP13" s="36" t="str">
        <f t="shared" si="128"/>
        <v/>
      </c>
      <c r="JQ13" s="36" t="str">
        <f t="shared" si="129"/>
        <v/>
      </c>
      <c r="JS13" s="36" t="str">
        <f t="shared" si="130"/>
        <v/>
      </c>
      <c r="JT13" s="36" t="str">
        <f t="shared" si="177"/>
        <v/>
      </c>
      <c r="JU13" s="36" t="str">
        <f t="shared" si="11"/>
        <v/>
      </c>
      <c r="JV13" s="36" t="str">
        <f t="shared" si="180"/>
        <v/>
      </c>
      <c r="JW13" s="36" t="str">
        <f t="shared" si="131"/>
        <v/>
      </c>
      <c r="JX13" s="149" t="str">
        <f t="shared" si="132"/>
        <v/>
      </c>
      <c r="JY13" s="138"/>
      <c r="JZ13" s="36" t="str">
        <f t="shared" si="133"/>
        <v/>
      </c>
      <c r="KB13" s="36" t="str">
        <f t="shared" si="134"/>
        <v/>
      </c>
      <c r="KC13" s="36" t="str">
        <f t="shared" si="135"/>
        <v/>
      </c>
      <c r="KD13" s="36" t="str">
        <f t="shared" si="136"/>
        <v/>
      </c>
      <c r="KF13" s="36" t="str">
        <f>KD10</f>
        <v/>
      </c>
      <c r="KG13" s="152"/>
      <c r="KH13" s="122">
        <v>7</v>
      </c>
      <c r="KI13" t="str">
        <f>IF(SUM($BH19:$BM19)&gt;1,$BH$2,"")</f>
        <v/>
      </c>
      <c r="KJ13" s="36" t="str">
        <f t="shared" si="137"/>
        <v/>
      </c>
      <c r="KK13" s="36" t="str">
        <f t="shared" si="138"/>
        <v/>
      </c>
      <c r="KL13" s="36" t="str">
        <f t="shared" si="139"/>
        <v/>
      </c>
      <c r="KM13" s="36" t="str">
        <f t="shared" si="140"/>
        <v/>
      </c>
      <c r="KN13" s="36" t="str">
        <f t="shared" si="141"/>
        <v/>
      </c>
      <c r="KO13" s="36" t="str">
        <f t="shared" si="142"/>
        <v/>
      </c>
      <c r="KP13" s="36" t="str">
        <f t="shared" si="143"/>
        <v/>
      </c>
      <c r="KQ13" s="36" t="str">
        <f t="shared" si="144"/>
        <v/>
      </c>
      <c r="KS13" s="36">
        <f t="shared" si="145"/>
        <v>999</v>
      </c>
      <c r="KT13" s="36">
        <f t="shared" si="146"/>
        <v>999</v>
      </c>
      <c r="KU13" s="36" t="str">
        <f t="shared" si="12"/>
        <v/>
      </c>
      <c r="KW13" s="36">
        <f t="shared" si="147"/>
        <v>1</v>
      </c>
      <c r="KX13" s="36">
        <f t="shared" si="148"/>
        <v>0</v>
      </c>
      <c r="KY13" s="36" t="str">
        <f t="shared" si="178"/>
        <v/>
      </c>
      <c r="KZ13" s="36">
        <f t="shared" si="149"/>
        <v>0</v>
      </c>
      <c r="LA13" s="149" t="str">
        <f t="shared" si="150"/>
        <v/>
      </c>
      <c r="LC13" s="36" t="str">
        <f t="shared" si="151"/>
        <v/>
      </c>
      <c r="LD13" s="36" t="str">
        <f t="shared" si="152"/>
        <v/>
      </c>
      <c r="LE13" s="36" t="str">
        <f t="shared" si="153"/>
        <v/>
      </c>
      <c r="LF13" s="36" t="str">
        <f t="shared" si="154"/>
        <v/>
      </c>
      <c r="LG13" s="36" t="str">
        <f t="shared" si="155"/>
        <v/>
      </c>
      <c r="LH13" s="36" t="str">
        <f t="shared" si="156"/>
        <v/>
      </c>
      <c r="LI13" s="36" t="str">
        <f t="shared" si="157"/>
        <v/>
      </c>
      <c r="LJ13" s="36" t="str">
        <f t="shared" si="158"/>
        <v/>
      </c>
      <c r="LK13" s="36" t="str">
        <f t="shared" si="159"/>
        <v/>
      </c>
      <c r="LL13" s="36" t="str">
        <f t="shared" si="160"/>
        <v/>
      </c>
      <c r="LM13" s="36" t="str">
        <f t="shared" si="161"/>
        <v/>
      </c>
      <c r="LN13" s="36" t="str">
        <f t="shared" si="162"/>
        <v/>
      </c>
      <c r="LO13" s="149" t="str">
        <f t="shared" si="163"/>
        <v/>
      </c>
      <c r="LP13" s="138"/>
      <c r="LQ13" s="36" t="str">
        <f t="shared" si="164"/>
        <v/>
      </c>
      <c r="LS13" s="36" t="str">
        <f t="shared" si="165"/>
        <v/>
      </c>
      <c r="LT13" s="36" t="str">
        <f t="shared" si="166"/>
        <v/>
      </c>
      <c r="LU13" s="36" t="str">
        <f t="shared" si="167"/>
        <v/>
      </c>
      <c r="LW13" s="36" t="str">
        <f>LU10</f>
        <v/>
      </c>
      <c r="LX13" s="152"/>
    </row>
    <row r="14" spans="1:336" ht="14.25" customHeight="1" thickBot="1" x14ac:dyDescent="0.3">
      <c r="A14" s="365"/>
      <c r="B14" s="360"/>
      <c r="C14" s="363"/>
      <c r="D14" s="362"/>
      <c r="E14" s="346"/>
      <c r="F14" s="29"/>
      <c r="G14" s="30"/>
      <c r="H14" s="334"/>
      <c r="I14" s="29"/>
      <c r="J14" s="30"/>
      <c r="K14" s="334"/>
      <c r="L14" s="29"/>
      <c r="M14" s="30"/>
      <c r="N14" s="334"/>
      <c r="O14" s="29"/>
      <c r="P14" s="30"/>
      <c r="Q14" s="334"/>
      <c r="R14" s="29"/>
      <c r="S14" s="30"/>
      <c r="T14" s="334"/>
      <c r="U14" s="29"/>
      <c r="V14" s="30"/>
      <c r="W14" s="337"/>
      <c r="X14" s="29"/>
      <c r="Y14" s="30"/>
      <c r="Z14" s="338"/>
      <c r="AA14" s="335"/>
      <c r="AB14" s="336"/>
      <c r="AC14" s="357"/>
      <c r="AD14" s="328"/>
      <c r="AE14" s="328"/>
      <c r="AG14" s="252">
        <v>8</v>
      </c>
      <c r="AH14" s="138" t="str">
        <f t="shared" si="13"/>
        <v/>
      </c>
      <c r="AI14" s="177"/>
      <c r="AJ14" s="36" t="str">
        <f t="shared" si="14"/>
        <v/>
      </c>
      <c r="AK14" s="149" t="str">
        <f t="shared" si="15"/>
        <v/>
      </c>
      <c r="AM14" s="138" t="str">
        <f t="shared" si="16"/>
        <v/>
      </c>
      <c r="AN14" s="177"/>
      <c r="AO14" s="36" t="str">
        <f t="shared" si="3"/>
        <v/>
      </c>
      <c r="AP14" s="149" t="str">
        <f t="shared" si="17"/>
        <v/>
      </c>
      <c r="AR14" s="138" t="str">
        <f t="shared" si="18"/>
        <v/>
      </c>
      <c r="AS14" s="177"/>
      <c r="AT14" s="36" t="str">
        <f t="shared" si="19"/>
        <v/>
      </c>
      <c r="AU14" s="149" t="str">
        <f t="shared" si="179"/>
        <v/>
      </c>
      <c r="AW14" s="138" t="str">
        <f t="shared" si="4"/>
        <v/>
      </c>
      <c r="AX14" s="177"/>
      <c r="AY14" s="36" t="str">
        <f t="shared" si="20"/>
        <v/>
      </c>
      <c r="AZ14" s="149" t="str">
        <f t="shared" si="21"/>
        <v/>
      </c>
      <c r="BB14" s="138" t="str">
        <f t="shared" si="22"/>
        <v/>
      </c>
      <c r="BC14" s="177"/>
      <c r="BD14" s="36" t="str">
        <f t="shared" si="23"/>
        <v/>
      </c>
      <c r="BE14" s="149" t="str">
        <f t="shared" si="24"/>
        <v/>
      </c>
      <c r="BH14" s="36" t="str">
        <f>IF(E14=$BQ$2,"",(IF(A14="","",(IF(F14="","",(IF(F14&lt;2,1,0)))))))</f>
        <v/>
      </c>
      <c r="BI14" s="36" t="str">
        <f>IF(H14=$BQ$2,"",(IF(A14="","",(IF(I14="","",(IF(I14&lt;2,1,0)))))))</f>
        <v/>
      </c>
      <c r="BJ14" s="36" t="str">
        <f>IF(K14=$BQ$2,"",(IF(A14="","",(IF(L14="","",(IF(L14&lt;2,1,0)))))))</f>
        <v/>
      </c>
      <c r="BK14" s="36" t="str">
        <f>IF(W14=$BQ$2,"",(IF(A14="","",(IF(X14="","",(IF(X14&lt;2,1,0)))))))</f>
        <v/>
      </c>
      <c r="BP14" s="36" t="str">
        <f>IF(BH14="","",(SUM(BH14:BK14)))</f>
        <v/>
      </c>
      <c r="BR14" s="36" t="str">
        <f>BP21</f>
        <v/>
      </c>
      <c r="BS14" s="36" t="str">
        <f>D21</f>
        <v/>
      </c>
      <c r="BT14" s="36" t="str">
        <f>IF(SUM(BH21,BI21)=2,$BH$2,"")</f>
        <v/>
      </c>
      <c r="BV14" s="36">
        <f t="shared" si="5"/>
        <v>999</v>
      </c>
      <c r="BW14" s="36">
        <f t="shared" si="25"/>
        <v>999</v>
      </c>
      <c r="BX14" s="36">
        <f t="shared" si="168"/>
        <v>8</v>
      </c>
      <c r="BY14" s="36">
        <f t="shared" si="26"/>
        <v>999</v>
      </c>
      <c r="CB14" s="122">
        <v>8</v>
      </c>
      <c r="CC14" s="36">
        <f>IF(D21="",0,D21)</f>
        <v>0</v>
      </c>
      <c r="CD14" s="36">
        <f t="shared" si="27"/>
        <v>0</v>
      </c>
      <c r="CE14" s="36">
        <f t="shared" si="28"/>
        <v>0</v>
      </c>
      <c r="CH14" s="36">
        <f t="shared" si="169"/>
        <v>0</v>
      </c>
      <c r="CI14" s="36">
        <f t="shared" si="29"/>
        <v>0</v>
      </c>
      <c r="CJ14" s="36">
        <f t="shared" si="30"/>
        <v>0</v>
      </c>
      <c r="CM14" s="36">
        <f t="shared" si="170"/>
        <v>0</v>
      </c>
      <c r="CO14" s="36">
        <f t="shared" si="31"/>
        <v>0</v>
      </c>
      <c r="CP14" s="36" t="str">
        <f t="shared" si="32"/>
        <v/>
      </c>
      <c r="CQ14" s="36">
        <f t="shared" si="33"/>
        <v>999</v>
      </c>
      <c r="CR14" s="36">
        <f t="shared" si="34"/>
        <v>8</v>
      </c>
      <c r="CS14" s="36">
        <f t="shared" si="35"/>
        <v>8</v>
      </c>
      <c r="CT14" s="36">
        <f t="shared" si="36"/>
        <v>999</v>
      </c>
      <c r="CU14" s="36" t="str">
        <f t="shared" si="37"/>
        <v/>
      </c>
      <c r="CV14" s="36">
        <f t="shared" si="38"/>
        <v>0</v>
      </c>
      <c r="CW14" s="36">
        <f t="shared" si="39"/>
        <v>0</v>
      </c>
      <c r="CX14" s="149" t="str">
        <f t="shared" si="171"/>
        <v/>
      </c>
      <c r="DA14" s="36" t="str">
        <f>D21</f>
        <v/>
      </c>
      <c r="DB14" s="36" t="str">
        <f>E21</f>
        <v/>
      </c>
      <c r="DC14" s="36" t="str">
        <f>H21</f>
        <v/>
      </c>
      <c r="DD14" s="36" t="str">
        <f t="shared" si="40"/>
        <v/>
      </c>
      <c r="DF14" s="36" t="str">
        <f t="shared" si="41"/>
        <v/>
      </c>
      <c r="DG14" s="36" t="str">
        <f t="shared" si="42"/>
        <v/>
      </c>
      <c r="DH14" s="36" t="str">
        <f t="shared" si="43"/>
        <v/>
      </c>
      <c r="DI14" s="36" t="str">
        <f t="shared" si="6"/>
        <v/>
      </c>
      <c r="DJ14" s="36" t="str">
        <f t="shared" si="44"/>
        <v/>
      </c>
      <c r="DL14" s="36" t="str">
        <f t="shared" si="7"/>
        <v/>
      </c>
      <c r="DM14" s="149" t="str">
        <f t="shared" si="45"/>
        <v/>
      </c>
      <c r="DN14" s="36" t="str">
        <f t="shared" si="46"/>
        <v/>
      </c>
      <c r="DO14" s="36" t="str">
        <f t="shared" si="47"/>
        <v/>
      </c>
      <c r="DP14" s="36" t="str">
        <f t="shared" si="48"/>
        <v/>
      </c>
      <c r="DR14" s="36" t="str">
        <f t="shared" si="49"/>
        <v/>
      </c>
      <c r="DS14" s="36" t="str">
        <f t="shared" si="50"/>
        <v/>
      </c>
      <c r="DT14" s="36" t="str">
        <f t="shared" si="51"/>
        <v/>
      </c>
      <c r="DX14" s="152" t="str">
        <f t="shared" si="52"/>
        <v/>
      </c>
      <c r="DY14" s="36" t="str">
        <f t="shared" si="53"/>
        <v/>
      </c>
      <c r="DZ14" s="36" t="str">
        <f t="shared" si="54"/>
        <v/>
      </c>
      <c r="EA14" s="36" t="str">
        <f t="shared" si="55"/>
        <v/>
      </c>
      <c r="EB14" s="173" t="str">
        <f t="shared" si="56"/>
        <v/>
      </c>
      <c r="ED14" s="122">
        <v>8</v>
      </c>
      <c r="EE14" s="36" t="str">
        <f t="shared" si="57"/>
        <v/>
      </c>
      <c r="EF14" s="36">
        <f t="shared" si="58"/>
        <v>0</v>
      </c>
      <c r="EG14" s="36" t="str">
        <f>IF(SUM($BH21:$BJ21)=2,$BH$2,"")</f>
        <v/>
      </c>
      <c r="EH14" s="36" t="str">
        <f t="shared" si="59"/>
        <v/>
      </c>
      <c r="EJ14" s="36">
        <f t="shared" si="60"/>
        <v>999</v>
      </c>
      <c r="EK14" s="36">
        <f t="shared" si="61"/>
        <v>999</v>
      </c>
      <c r="EL14" s="36" t="str">
        <f t="shared" si="62"/>
        <v/>
      </c>
      <c r="EM14" s="36">
        <f t="shared" si="63"/>
        <v>1</v>
      </c>
      <c r="EN14" s="36">
        <f t="shared" si="64"/>
        <v>0</v>
      </c>
      <c r="EQ14" s="36" t="str">
        <f t="shared" si="172"/>
        <v/>
      </c>
      <c r="ER14" s="36">
        <f t="shared" si="65"/>
        <v>0</v>
      </c>
      <c r="ES14" s="36">
        <f t="shared" si="66"/>
        <v>0</v>
      </c>
      <c r="ET14" s="149" t="str">
        <f t="shared" si="67"/>
        <v/>
      </c>
      <c r="EV14" s="36" t="str">
        <f>D21</f>
        <v/>
      </c>
      <c r="EW14" s="36" t="str">
        <f>E21</f>
        <v/>
      </c>
      <c r="EX14" s="36" t="str">
        <f>H21</f>
        <v/>
      </c>
      <c r="EY14" s="36" t="str">
        <f>K21</f>
        <v/>
      </c>
      <c r="EZ14" s="36" t="str">
        <f t="shared" si="68"/>
        <v/>
      </c>
      <c r="FB14" s="36" t="str">
        <f t="shared" si="69"/>
        <v/>
      </c>
      <c r="FC14" s="36" t="str">
        <f t="shared" si="70"/>
        <v/>
      </c>
      <c r="FD14" s="36" t="str">
        <f t="shared" si="71"/>
        <v/>
      </c>
      <c r="FE14" s="36" t="str">
        <f t="shared" si="72"/>
        <v/>
      </c>
      <c r="FF14" s="36" t="str">
        <f t="shared" si="73"/>
        <v/>
      </c>
      <c r="FG14" s="36" t="str">
        <f t="shared" si="74"/>
        <v/>
      </c>
      <c r="FI14" s="36" t="str">
        <f t="shared" si="75"/>
        <v/>
      </c>
      <c r="FJ14" s="36" t="str">
        <f t="shared" si="76"/>
        <v/>
      </c>
      <c r="FL14" s="36" t="str">
        <f t="shared" si="77"/>
        <v/>
      </c>
      <c r="FM14" s="36" t="str">
        <f t="shared" si="78"/>
        <v/>
      </c>
      <c r="FN14" s="36" t="str">
        <f t="shared" si="79"/>
        <v/>
      </c>
      <c r="FO14" s="36" t="str">
        <f t="shared" si="80"/>
        <v/>
      </c>
      <c r="FP14" s="36" t="str">
        <f t="shared" si="81"/>
        <v/>
      </c>
      <c r="FQ14" s="36" t="str">
        <f t="shared" si="82"/>
        <v/>
      </c>
      <c r="FR14" s="173" t="str">
        <f t="shared" si="8"/>
        <v/>
      </c>
      <c r="FT14" s="36">
        <v>8</v>
      </c>
      <c r="FV14" s="36" t="str">
        <f t="shared" si="83"/>
        <v/>
      </c>
      <c r="FW14" s="36" t="str">
        <f t="shared" si="84"/>
        <v/>
      </c>
      <c r="FX14" s="36" t="str">
        <f t="shared" si="85"/>
        <v/>
      </c>
      <c r="GA14" s="152"/>
      <c r="GB14" s="122">
        <v>8</v>
      </c>
      <c r="GC14" s="36" t="str">
        <f>IF(D21="","",D21)</f>
        <v/>
      </c>
      <c r="GD14" s="36" t="str">
        <f>IF(E21="","",E21)</f>
        <v/>
      </c>
      <c r="GE14" s="36" t="str">
        <f>IF(H21="","",H21)</f>
        <v/>
      </c>
      <c r="GF14" s="36" t="str">
        <f>IF(K21="","",K21)</f>
        <v/>
      </c>
      <c r="GG14" s="36" t="str">
        <f>IF(N21="","",N21)</f>
        <v/>
      </c>
      <c r="GH14" s="36" t="str">
        <f>IF(Q21="","",Q21)</f>
        <v/>
      </c>
      <c r="GI14" s="36" t="str">
        <f>IF(T21="","",T21)</f>
        <v/>
      </c>
      <c r="GJ14" s="36" t="str">
        <f>IF(W21="","",W21)</f>
        <v/>
      </c>
      <c r="GK14" s="36" t="str">
        <f>IF(C21="","",C21)</f>
        <v/>
      </c>
      <c r="GM14" s="36" t="str">
        <f>IF(F21="","",F21)</f>
        <v/>
      </c>
      <c r="GN14" s="36" t="str">
        <f>IF(I21="","",I21)</f>
        <v/>
      </c>
      <c r="GO14" s="36" t="str">
        <f>IF(L21="","",L21)</f>
        <v/>
      </c>
      <c r="GP14" s="36" t="str">
        <f>IF(O21="","",O21)</f>
        <v/>
      </c>
      <c r="GQ14" s="36" t="str">
        <f>IF(R21="","",R21)</f>
        <v/>
      </c>
      <c r="GR14" s="36" t="str">
        <f>IF(U21="","",U21)</f>
        <v/>
      </c>
      <c r="GS14" s="36" t="str">
        <f>IF(X21="","",X21)</f>
        <v/>
      </c>
      <c r="GU14" s="36" t="str">
        <f>IF(F22="","",F22)</f>
        <v/>
      </c>
      <c r="GV14" s="36" t="str">
        <f>IF(I22="","",I22)</f>
        <v/>
      </c>
      <c r="GW14" s="36" t="str">
        <f>IF(L22="","",L22)</f>
        <v/>
      </c>
      <c r="GX14" s="36" t="str">
        <f>IF(O22="","",O22)</f>
        <v/>
      </c>
      <c r="GY14" s="36" t="str">
        <f>IF(R22="","",R22)</f>
        <v/>
      </c>
      <c r="GZ14" s="36" t="str">
        <f>IF(U22="","",U22)</f>
        <v/>
      </c>
      <c r="HA14" s="36" t="str">
        <f>IF(X22="","",X22)</f>
        <v/>
      </c>
      <c r="HB14" s="152"/>
      <c r="HC14" s="122">
        <v>8</v>
      </c>
      <c r="HD14" s="36" t="str">
        <f>IF(SUM($BH21:$BK21)&gt;=2,$BH$2,"")</f>
        <v/>
      </c>
      <c r="HE14" s="36" t="str">
        <f t="shared" si="86"/>
        <v/>
      </c>
      <c r="HF14" s="36" t="str">
        <f t="shared" si="87"/>
        <v/>
      </c>
      <c r="HG14" s="36" t="str">
        <f t="shared" si="88"/>
        <v/>
      </c>
      <c r="HH14" s="36" t="str">
        <f t="shared" si="89"/>
        <v/>
      </c>
      <c r="HI14" s="36" t="str">
        <f t="shared" si="90"/>
        <v/>
      </c>
      <c r="HK14" s="36" t="str">
        <f t="shared" si="91"/>
        <v/>
      </c>
      <c r="HM14" s="36">
        <f t="shared" si="92"/>
        <v>999</v>
      </c>
      <c r="HN14" s="36">
        <f t="shared" si="93"/>
        <v>999</v>
      </c>
      <c r="HO14" s="36" t="str">
        <f t="shared" si="9"/>
        <v/>
      </c>
      <c r="HQ14" s="36">
        <f t="shared" si="94"/>
        <v>1</v>
      </c>
      <c r="HR14" s="36">
        <f t="shared" si="95"/>
        <v>0</v>
      </c>
      <c r="HS14" s="36" t="str">
        <f t="shared" si="173"/>
        <v/>
      </c>
      <c r="HT14" s="36">
        <f t="shared" si="96"/>
        <v>0</v>
      </c>
      <c r="HU14" s="149" t="str">
        <f t="shared" si="97"/>
        <v/>
      </c>
      <c r="HV14" s="138"/>
      <c r="HW14" s="36" t="str">
        <f t="shared" si="98"/>
        <v/>
      </c>
      <c r="HX14" s="36" t="str">
        <f t="shared" si="99"/>
        <v/>
      </c>
      <c r="HY14" s="36" t="str">
        <f t="shared" si="100"/>
        <v/>
      </c>
      <c r="HZ14" s="36" t="str">
        <f t="shared" si="101"/>
        <v/>
      </c>
      <c r="IA14" s="36" t="str">
        <f t="shared" si="102"/>
        <v/>
      </c>
      <c r="IC14" s="36" t="str">
        <f t="shared" si="174"/>
        <v/>
      </c>
      <c r="ID14" s="36" t="str">
        <f t="shared" si="103"/>
        <v/>
      </c>
      <c r="IE14" s="36" t="str">
        <f t="shared" si="104"/>
        <v/>
      </c>
      <c r="IF14" s="36" t="str">
        <f t="shared" si="105"/>
        <v/>
      </c>
      <c r="IG14" s="36" t="str">
        <f t="shared" si="106"/>
        <v/>
      </c>
      <c r="IH14" s="149" t="str">
        <f t="shared" si="107"/>
        <v/>
      </c>
      <c r="II14" s="138"/>
      <c r="IJ14" s="36" t="str">
        <f t="shared" si="108"/>
        <v/>
      </c>
      <c r="IL14" s="36" t="str">
        <f t="shared" si="109"/>
        <v/>
      </c>
      <c r="IM14" s="36" t="str">
        <f t="shared" si="110"/>
        <v/>
      </c>
      <c r="IN14" s="36" t="str">
        <f t="shared" si="111"/>
        <v/>
      </c>
      <c r="IQ14" s="152"/>
      <c r="IR14" s="122">
        <v>8</v>
      </c>
      <c r="IS14" s="36" t="str">
        <f>IF(SUM($BH21:$BL21)&gt;1,$BH$2,"")</f>
        <v/>
      </c>
      <c r="IT14" s="36" t="str">
        <f t="shared" si="112"/>
        <v/>
      </c>
      <c r="IU14" s="36" t="str">
        <f t="shared" si="113"/>
        <v/>
      </c>
      <c r="IV14" s="36" t="str">
        <f t="shared" si="114"/>
        <v/>
      </c>
      <c r="IW14" s="36" t="str">
        <f t="shared" si="115"/>
        <v/>
      </c>
      <c r="IX14" s="36" t="str">
        <f t="shared" si="116"/>
        <v/>
      </c>
      <c r="IY14" s="36" t="str">
        <f t="shared" si="117"/>
        <v/>
      </c>
      <c r="IZ14" s="36" t="str">
        <f t="shared" si="118"/>
        <v/>
      </c>
      <c r="JB14" s="36">
        <f t="shared" si="119"/>
        <v>999</v>
      </c>
      <c r="JC14" s="36">
        <f t="shared" si="120"/>
        <v>999</v>
      </c>
      <c r="JD14" s="36" t="str">
        <f t="shared" si="10"/>
        <v/>
      </c>
      <c r="JF14" s="36">
        <f t="shared" si="121"/>
        <v>1</v>
      </c>
      <c r="JG14" s="36">
        <f t="shared" si="122"/>
        <v>0</v>
      </c>
      <c r="JH14" s="36" t="str">
        <f t="shared" si="175"/>
        <v/>
      </c>
      <c r="JI14" s="36">
        <f t="shared" si="123"/>
        <v>0</v>
      </c>
      <c r="JJ14" s="149" t="str">
        <f t="shared" si="124"/>
        <v/>
      </c>
      <c r="JL14" s="36" t="str">
        <f t="shared" si="176"/>
        <v/>
      </c>
      <c r="JM14" s="36" t="str">
        <f t="shared" si="125"/>
        <v/>
      </c>
      <c r="JN14" s="36" t="str">
        <f t="shared" si="126"/>
        <v/>
      </c>
      <c r="JO14" s="36" t="str">
        <f t="shared" si="127"/>
        <v/>
      </c>
      <c r="JP14" s="36" t="str">
        <f t="shared" si="128"/>
        <v/>
      </c>
      <c r="JQ14" s="36" t="str">
        <f t="shared" si="129"/>
        <v/>
      </c>
      <c r="JS14" s="36" t="str">
        <f t="shared" si="130"/>
        <v/>
      </c>
      <c r="JT14" s="36" t="str">
        <f t="shared" si="177"/>
        <v/>
      </c>
      <c r="JU14" s="36" t="str">
        <f t="shared" si="11"/>
        <v/>
      </c>
      <c r="JV14" s="36" t="str">
        <f t="shared" si="180"/>
        <v/>
      </c>
      <c r="JW14" s="36" t="str">
        <f t="shared" si="131"/>
        <v/>
      </c>
      <c r="JX14" s="149" t="str">
        <f t="shared" si="132"/>
        <v/>
      </c>
      <c r="JY14" s="138"/>
      <c r="JZ14" s="36" t="str">
        <f t="shared" si="133"/>
        <v/>
      </c>
      <c r="KB14" s="36" t="str">
        <f t="shared" si="134"/>
        <v/>
      </c>
      <c r="KC14" s="36" t="str">
        <f t="shared" si="135"/>
        <v/>
      </c>
      <c r="KD14" s="36" t="str">
        <f t="shared" si="136"/>
        <v/>
      </c>
      <c r="KG14" s="152"/>
      <c r="KH14" s="122">
        <v>8</v>
      </c>
      <c r="KI14" t="str">
        <f>IF(SUM($BH21:$BM21)&gt;1,$BH$2,"")</f>
        <v/>
      </c>
      <c r="KJ14" s="36" t="str">
        <f t="shared" si="137"/>
        <v/>
      </c>
      <c r="KK14" s="36" t="str">
        <f t="shared" si="138"/>
        <v/>
      </c>
      <c r="KL14" s="36" t="str">
        <f t="shared" si="139"/>
        <v/>
      </c>
      <c r="KM14" s="36" t="str">
        <f t="shared" si="140"/>
        <v/>
      </c>
      <c r="KN14" s="36" t="str">
        <f t="shared" si="141"/>
        <v/>
      </c>
      <c r="KO14" s="36" t="str">
        <f t="shared" si="142"/>
        <v/>
      </c>
      <c r="KP14" s="36" t="str">
        <f t="shared" si="143"/>
        <v/>
      </c>
      <c r="KQ14" s="36" t="str">
        <f t="shared" si="144"/>
        <v/>
      </c>
      <c r="KS14" s="36">
        <f t="shared" si="145"/>
        <v>999</v>
      </c>
      <c r="KT14" s="36">
        <f t="shared" si="146"/>
        <v>999</v>
      </c>
      <c r="KU14" s="36" t="str">
        <f t="shared" si="12"/>
        <v/>
      </c>
      <c r="KW14" s="36">
        <f t="shared" si="147"/>
        <v>1</v>
      </c>
      <c r="KX14" s="36">
        <f t="shared" si="148"/>
        <v>0</v>
      </c>
      <c r="KY14" s="36" t="str">
        <f t="shared" si="178"/>
        <v/>
      </c>
      <c r="KZ14" s="36">
        <f t="shared" si="149"/>
        <v>0</v>
      </c>
      <c r="LA14" s="149" t="str">
        <f t="shared" si="150"/>
        <v/>
      </c>
      <c r="LC14" s="36" t="str">
        <f t="shared" si="151"/>
        <v/>
      </c>
      <c r="LD14" s="36" t="str">
        <f t="shared" si="152"/>
        <v/>
      </c>
      <c r="LE14" s="36" t="str">
        <f t="shared" si="153"/>
        <v/>
      </c>
      <c r="LF14" s="36" t="str">
        <f t="shared" si="154"/>
        <v/>
      </c>
      <c r="LG14" s="36" t="str">
        <f t="shared" si="155"/>
        <v/>
      </c>
      <c r="LH14" s="36" t="str">
        <f t="shared" si="156"/>
        <v/>
      </c>
      <c r="LI14" s="36" t="str">
        <f t="shared" si="157"/>
        <v/>
      </c>
      <c r="LJ14" s="36" t="str">
        <f t="shared" si="158"/>
        <v/>
      </c>
      <c r="LK14" s="36" t="str">
        <f t="shared" si="159"/>
        <v/>
      </c>
      <c r="LL14" s="36" t="str">
        <f t="shared" si="160"/>
        <v/>
      </c>
      <c r="LM14" s="36" t="str">
        <f t="shared" si="161"/>
        <v/>
      </c>
      <c r="LN14" s="36" t="str">
        <f t="shared" si="162"/>
        <v/>
      </c>
      <c r="LO14" s="149" t="str">
        <f t="shared" si="163"/>
        <v/>
      </c>
      <c r="LP14" s="138"/>
      <c r="LQ14" s="36" t="str">
        <f t="shared" si="164"/>
        <v/>
      </c>
      <c r="LS14" s="36" t="str">
        <f t="shared" si="165"/>
        <v/>
      </c>
      <c r="LT14" s="36" t="str">
        <f t="shared" si="166"/>
        <v/>
      </c>
      <c r="LU14" s="36" t="str">
        <f t="shared" si="167"/>
        <v/>
      </c>
      <c r="LX14" s="152"/>
    </row>
    <row r="15" spans="1:336" ht="14.25" customHeight="1" thickBot="1" x14ac:dyDescent="0.3">
      <c r="A15" s="364" t="str">
        <f>'Vážní listina'!HQ15</f>
        <v/>
      </c>
      <c r="B15" s="359" t="str">
        <f>'Vážní listina'!HR15</f>
        <v/>
      </c>
      <c r="C15" s="363" t="str">
        <f>IF(BP15="","",(IF(BP15&gt;1,$BH$2,"")))</f>
        <v/>
      </c>
      <c r="D15" s="361" t="str">
        <f>'Vážní listina'!HK15</f>
        <v/>
      </c>
      <c r="E15" s="343" t="str">
        <f>'Vážní listina'!HL15</f>
        <v/>
      </c>
      <c r="F15" s="26"/>
      <c r="G15" s="33"/>
      <c r="H15" s="343" t="str">
        <f>IF(H5="","",'Vážní listina'!HM15)</f>
        <v/>
      </c>
      <c r="I15" s="26"/>
      <c r="J15" s="33"/>
      <c r="K15" s="334" t="str">
        <f>IF(K5="","",DV15)</f>
        <v/>
      </c>
      <c r="L15" s="26"/>
      <c r="M15" s="33"/>
      <c r="N15" s="334" t="str">
        <f>IF(N5="","",FZ15)</f>
        <v/>
      </c>
      <c r="O15" s="26"/>
      <c r="P15" s="33"/>
      <c r="Q15" s="334" t="str">
        <f>IF(Q5="","",IP15)</f>
        <v/>
      </c>
      <c r="R15" s="26"/>
      <c r="S15" s="33"/>
      <c r="T15" s="334" t="str">
        <f>IF(T5="","",KF15)</f>
        <v/>
      </c>
      <c r="U15" s="26"/>
      <c r="V15" s="33"/>
      <c r="W15" s="337" t="str">
        <f>IF(W5="","",LW15)</f>
        <v/>
      </c>
      <c r="X15" s="26"/>
      <c r="Y15" s="33"/>
      <c r="Z15" s="338" t="str">
        <f>IF(A15="","",(F15+I15+L15+O15+R15+U15+X15))</f>
        <v/>
      </c>
      <c r="AA15" s="335" t="str">
        <f>IF(A15="","",(F16+I16+L16+O16+R16+U16+X16))</f>
        <v/>
      </c>
      <c r="AB15" s="336" t="str">
        <f>IF(A15="","",(G15+J15+M15+P15+S15+V15+Y15))</f>
        <v/>
      </c>
      <c r="AC15" s="356" t="str">
        <f>HF88</f>
        <v/>
      </c>
      <c r="AD15" s="329"/>
      <c r="AE15" s="328" t="str">
        <f>IF(D15="","",((IF('Tabulka finále'!$BK$47=1,(IF('Tabulka finále'!$K$56="","",(IF($AC$5="","",(IF($H$5="","",(FW126))))))),""))))</f>
        <v/>
      </c>
      <c r="AG15" s="252">
        <v>9</v>
      </c>
      <c r="AH15" s="138" t="str">
        <f t="shared" si="13"/>
        <v/>
      </c>
      <c r="AI15" s="177"/>
      <c r="AJ15" s="36" t="str">
        <f t="shared" si="14"/>
        <v/>
      </c>
      <c r="AK15" s="149" t="str">
        <f t="shared" si="15"/>
        <v/>
      </c>
      <c r="AM15" s="138" t="str">
        <f t="shared" si="16"/>
        <v/>
      </c>
      <c r="AN15" s="177"/>
      <c r="AO15" s="36" t="str">
        <f t="shared" si="3"/>
        <v/>
      </c>
      <c r="AP15" s="149" t="str">
        <f t="shared" si="17"/>
        <v/>
      </c>
      <c r="AR15" s="138" t="str">
        <f t="shared" si="18"/>
        <v/>
      </c>
      <c r="AS15" s="177"/>
      <c r="AT15" s="36" t="str">
        <f t="shared" si="19"/>
        <v/>
      </c>
      <c r="AU15" s="149" t="str">
        <f t="shared" si="179"/>
        <v/>
      </c>
      <c r="AW15" s="138" t="str">
        <f t="shared" si="4"/>
        <v/>
      </c>
      <c r="AX15" s="177"/>
      <c r="AY15" s="36" t="str">
        <f t="shared" si="20"/>
        <v/>
      </c>
      <c r="AZ15" s="149" t="str">
        <f t="shared" si="21"/>
        <v/>
      </c>
      <c r="BB15" s="138" t="str">
        <f t="shared" si="22"/>
        <v/>
      </c>
      <c r="BC15" s="177"/>
      <c r="BD15" s="36" t="str">
        <f t="shared" si="23"/>
        <v/>
      </c>
      <c r="BE15" s="149" t="str">
        <f t="shared" si="24"/>
        <v/>
      </c>
      <c r="BG15" s="36">
        <f>IF(A15="",0,1)</f>
        <v>0</v>
      </c>
      <c r="BH15" s="36" t="str">
        <f>(IF(E15="","",(IF(E15=$BQ$2,0,(IF(A15="","",(IF(F15="","",(IF(F15&lt;2,1,0))))))))))</f>
        <v/>
      </c>
      <c r="BI15" s="36" t="str">
        <f>IF(H15=$BQ$2,0,(IF(A15="","",(IF(I15="","",(IF(I15&lt;2,1,0)))))))</f>
        <v/>
      </c>
      <c r="BJ15" s="36" t="str">
        <f>IF(L15="","",(IF(L15&lt;2,1,0)))</f>
        <v/>
      </c>
      <c r="BK15" s="36" t="str">
        <f>IF(O15="","",(IF(O15&lt;2,1,0)))</f>
        <v/>
      </c>
      <c r="BL15" s="36" t="str">
        <f>IF(R15="","",(IF(R15&lt;2,1,0)))</f>
        <v/>
      </c>
      <c r="BM15" s="36" t="str">
        <f>IF(U15="","",(IF(U15&lt;2,1,0)))</f>
        <v/>
      </c>
      <c r="BN15" s="36" t="str">
        <f>IF(X15="","",(IF(X15&lt;2,1,0)))</f>
        <v/>
      </c>
      <c r="BP15" s="36" t="str">
        <f>IF(BG15=0,"",(SUM(BH15:BN15)))</f>
        <v/>
      </c>
      <c r="BR15" s="36" t="str">
        <f>BP23</f>
        <v/>
      </c>
      <c r="BS15" s="36" t="str">
        <f>D23</f>
        <v/>
      </c>
      <c r="BT15" s="36" t="str">
        <f>IF(SUM(BH23,BI23)=2,$BH$2,"")</f>
        <v/>
      </c>
      <c r="BV15" s="36">
        <f t="shared" si="5"/>
        <v>999</v>
      </c>
      <c r="BW15" s="36">
        <f t="shared" si="25"/>
        <v>999</v>
      </c>
      <c r="BX15" s="36">
        <f t="shared" si="168"/>
        <v>9</v>
      </c>
      <c r="BY15" s="36">
        <f t="shared" si="26"/>
        <v>999</v>
      </c>
      <c r="CB15" s="122">
        <v>9</v>
      </c>
      <c r="CC15" s="36">
        <f>IF(D23="",0,D23)</f>
        <v>0</v>
      </c>
      <c r="CD15" s="36">
        <f t="shared" si="27"/>
        <v>0</v>
      </c>
      <c r="CE15" s="36">
        <f t="shared" si="28"/>
        <v>0</v>
      </c>
      <c r="CH15" s="36">
        <f t="shared" si="169"/>
        <v>0</v>
      </c>
      <c r="CI15" s="36">
        <f t="shared" si="29"/>
        <v>0</v>
      </c>
      <c r="CJ15" s="36">
        <f t="shared" si="30"/>
        <v>0</v>
      </c>
      <c r="CM15" s="36">
        <f t="shared" si="170"/>
        <v>0</v>
      </c>
      <c r="CO15" s="36">
        <f t="shared" si="31"/>
        <v>0</v>
      </c>
      <c r="CP15" s="36" t="str">
        <f t="shared" si="32"/>
        <v/>
      </c>
      <c r="CQ15" s="36">
        <f t="shared" si="33"/>
        <v>999</v>
      </c>
      <c r="CR15" s="36">
        <f t="shared" si="34"/>
        <v>9</v>
      </c>
      <c r="CS15" s="36">
        <f t="shared" si="35"/>
        <v>9</v>
      </c>
      <c r="CT15" s="36">
        <f t="shared" si="36"/>
        <v>999</v>
      </c>
      <c r="CU15" s="36" t="str">
        <f t="shared" si="37"/>
        <v/>
      </c>
      <c r="CV15" s="36">
        <f t="shared" si="38"/>
        <v>0</v>
      </c>
      <c r="CW15" s="36">
        <f t="shared" si="39"/>
        <v>0</v>
      </c>
      <c r="CX15" s="149" t="str">
        <f t="shared" si="171"/>
        <v/>
      </c>
      <c r="DA15" s="36" t="str">
        <f>D23</f>
        <v/>
      </c>
      <c r="DB15" s="36" t="str">
        <f>E23</f>
        <v/>
      </c>
      <c r="DC15" s="36" t="str">
        <f>H23</f>
        <v/>
      </c>
      <c r="DD15" s="36" t="str">
        <f t="shared" si="40"/>
        <v/>
      </c>
      <c r="DF15" s="36" t="str">
        <f t="shared" si="41"/>
        <v/>
      </c>
      <c r="DG15" s="36" t="str">
        <f t="shared" si="42"/>
        <v/>
      </c>
      <c r="DH15" s="36" t="str">
        <f t="shared" si="43"/>
        <v/>
      </c>
      <c r="DI15" s="36" t="str">
        <f t="shared" si="6"/>
        <v/>
      </c>
      <c r="DJ15" s="36" t="str">
        <f t="shared" si="44"/>
        <v/>
      </c>
      <c r="DL15" s="36" t="str">
        <f t="shared" si="7"/>
        <v/>
      </c>
      <c r="DM15" s="149" t="str">
        <f t="shared" si="45"/>
        <v/>
      </c>
      <c r="DN15" s="36" t="str">
        <f t="shared" si="46"/>
        <v/>
      </c>
      <c r="DO15" s="36" t="str">
        <f t="shared" si="47"/>
        <v/>
      </c>
      <c r="DP15" s="36" t="str">
        <f t="shared" si="48"/>
        <v/>
      </c>
      <c r="DR15" s="36" t="str">
        <f t="shared" si="49"/>
        <v/>
      </c>
      <c r="DS15" s="36" t="str">
        <f t="shared" si="50"/>
        <v/>
      </c>
      <c r="DT15" s="36" t="str">
        <f t="shared" si="51"/>
        <v/>
      </c>
      <c r="DV15" s="36" t="str">
        <f>DT11</f>
        <v/>
      </c>
      <c r="DX15" s="152" t="str">
        <f t="shared" si="52"/>
        <v/>
      </c>
      <c r="DY15" s="36" t="str">
        <f t="shared" si="53"/>
        <v/>
      </c>
      <c r="DZ15" s="36" t="str">
        <f t="shared" si="54"/>
        <v/>
      </c>
      <c r="EA15" s="36" t="str">
        <f t="shared" si="55"/>
        <v/>
      </c>
      <c r="EB15" s="173" t="str">
        <f t="shared" si="56"/>
        <v/>
      </c>
      <c r="ED15" s="122">
        <v>9</v>
      </c>
      <c r="EE15" s="36" t="str">
        <f t="shared" si="57"/>
        <v/>
      </c>
      <c r="EF15" s="36">
        <f t="shared" si="58"/>
        <v>0</v>
      </c>
      <c r="EG15" s="36" t="str">
        <f>IF(SUM($BH23:$BJ23)=2,$BH$2,"")</f>
        <v/>
      </c>
      <c r="EH15" s="36" t="str">
        <f t="shared" si="59"/>
        <v/>
      </c>
      <c r="EJ15" s="36">
        <f t="shared" si="60"/>
        <v>999</v>
      </c>
      <c r="EK15" s="36">
        <f t="shared" si="61"/>
        <v>999</v>
      </c>
      <c r="EL15" s="36" t="str">
        <f t="shared" si="62"/>
        <v/>
      </c>
      <c r="EM15" s="36">
        <f t="shared" si="63"/>
        <v>1</v>
      </c>
      <c r="EN15" s="36">
        <f t="shared" si="64"/>
        <v>0</v>
      </c>
      <c r="EQ15" s="36" t="str">
        <f t="shared" si="172"/>
        <v/>
      </c>
      <c r="ER15" s="36">
        <f t="shared" si="65"/>
        <v>0</v>
      </c>
      <c r="ES15" s="36">
        <f t="shared" si="66"/>
        <v>0</v>
      </c>
      <c r="ET15" s="149" t="str">
        <f t="shared" si="67"/>
        <v/>
      </c>
      <c r="EV15" s="36" t="str">
        <f>D23</f>
        <v/>
      </c>
      <c r="EW15" s="36" t="str">
        <f>E23</f>
        <v/>
      </c>
      <c r="EX15" s="36" t="str">
        <f>H23</f>
        <v/>
      </c>
      <c r="EY15" s="36" t="str">
        <f>K23</f>
        <v/>
      </c>
      <c r="EZ15" s="36" t="str">
        <f t="shared" si="68"/>
        <v/>
      </c>
      <c r="FB15" s="36" t="str">
        <f t="shared" si="69"/>
        <v/>
      </c>
      <c r="FC15" s="36" t="str">
        <f t="shared" si="70"/>
        <v/>
      </c>
      <c r="FD15" s="36" t="str">
        <f>IF(FB15="","",(INDEX($EW$7:$EW$22,FB15)))</f>
        <v/>
      </c>
      <c r="FE15" s="36" t="str">
        <f t="shared" si="72"/>
        <v/>
      </c>
      <c r="FF15" s="36" t="str">
        <f t="shared" si="73"/>
        <v/>
      </c>
      <c r="FG15" s="36" t="str">
        <f t="shared" si="74"/>
        <v/>
      </c>
      <c r="FI15" s="36" t="str">
        <f t="shared" si="75"/>
        <v/>
      </c>
      <c r="FJ15" s="36" t="str">
        <f t="shared" si="76"/>
        <v/>
      </c>
      <c r="FL15" s="36" t="str">
        <f t="shared" si="77"/>
        <v/>
      </c>
      <c r="FM15" s="36" t="str">
        <f t="shared" si="78"/>
        <v/>
      </c>
      <c r="FN15" s="36" t="str">
        <f t="shared" si="79"/>
        <v/>
      </c>
      <c r="FO15" s="36" t="str">
        <f t="shared" si="80"/>
        <v/>
      </c>
      <c r="FP15" s="36" t="str">
        <f t="shared" si="81"/>
        <v/>
      </c>
      <c r="FQ15" s="36" t="str">
        <f t="shared" si="82"/>
        <v/>
      </c>
      <c r="FR15" s="173" t="str">
        <f t="shared" si="8"/>
        <v/>
      </c>
      <c r="FT15" s="36">
        <v>9</v>
      </c>
      <c r="FV15" s="36" t="str">
        <f t="shared" si="83"/>
        <v/>
      </c>
      <c r="FW15" s="36" t="str">
        <f t="shared" si="84"/>
        <v/>
      </c>
      <c r="FX15" s="36" t="str">
        <f t="shared" si="85"/>
        <v/>
      </c>
      <c r="FZ15" s="36" t="str">
        <f>FX11</f>
        <v/>
      </c>
      <c r="GA15" s="152"/>
      <c r="GB15" s="122">
        <v>9</v>
      </c>
      <c r="GC15" s="36" t="str">
        <f>IF(D23="","",D23)</f>
        <v/>
      </c>
      <c r="GD15" s="36" t="str">
        <f>IF(E23="","",E23)</f>
        <v/>
      </c>
      <c r="GE15" s="36" t="str">
        <f>IF(H23="","",H23)</f>
        <v/>
      </c>
      <c r="GF15" s="36" t="str">
        <f>IF(K23="","",K23)</f>
        <v/>
      </c>
      <c r="GG15" s="36" t="str">
        <f>IF(N23="","",N23)</f>
        <v/>
      </c>
      <c r="GH15" s="36" t="str">
        <f>IF(Q23="","",Q23)</f>
        <v/>
      </c>
      <c r="GI15" s="36" t="str">
        <f>IF(T23="","",T23)</f>
        <v/>
      </c>
      <c r="GJ15" s="36" t="str">
        <f>IF(W23="","",W23)</f>
        <v/>
      </c>
      <c r="GK15" s="36" t="str">
        <f>IF(C23="","",C23)</f>
        <v/>
      </c>
      <c r="GM15" s="36" t="str">
        <f>IF(F23="","",F23)</f>
        <v/>
      </c>
      <c r="GN15" s="36" t="str">
        <f>IF(I23="","",I23)</f>
        <v/>
      </c>
      <c r="GO15" s="36" t="str">
        <f>IF(L23="","",L23)</f>
        <v/>
      </c>
      <c r="GP15" s="36" t="str">
        <f>IF(O23="","",O23)</f>
        <v/>
      </c>
      <c r="GQ15" s="36" t="str">
        <f>IF(R23="","",R23)</f>
        <v/>
      </c>
      <c r="GR15" s="36" t="str">
        <f>IF(U23="","",U23)</f>
        <v/>
      </c>
      <c r="GS15" s="36" t="str">
        <f>IF(X23="","",X23)</f>
        <v/>
      </c>
      <c r="GU15" s="36" t="str">
        <f>IF(F24="","",F24)</f>
        <v/>
      </c>
      <c r="GV15" s="36" t="str">
        <f>IF(I24="","",I24)</f>
        <v/>
      </c>
      <c r="GW15" s="36" t="str">
        <f>IF(L24="","",L24)</f>
        <v/>
      </c>
      <c r="GX15" s="36" t="str">
        <f>IF(O24="","",O24)</f>
        <v/>
      </c>
      <c r="GY15" s="36" t="str">
        <f>IF(R24="","",R24)</f>
        <v/>
      </c>
      <c r="GZ15" s="36" t="str">
        <f>IF(U24="","",U24)</f>
        <v/>
      </c>
      <c r="HA15" s="36" t="str">
        <f>IF(X24="","",X24)</f>
        <v/>
      </c>
      <c r="HB15" s="152"/>
      <c r="HC15" s="122">
        <v>9</v>
      </c>
      <c r="HD15" s="36" t="str">
        <f>IF(SUM($BH23:$BK23)&gt;=2,$BH$2,"")</f>
        <v/>
      </c>
      <c r="HE15" s="36" t="str">
        <f t="shared" si="86"/>
        <v/>
      </c>
      <c r="HF15" s="36" t="str">
        <f t="shared" si="87"/>
        <v/>
      </c>
      <c r="HG15" s="36" t="str">
        <f t="shared" si="88"/>
        <v/>
      </c>
      <c r="HH15" s="36" t="str">
        <f t="shared" si="89"/>
        <v/>
      </c>
      <c r="HI15" s="36" t="str">
        <f t="shared" si="90"/>
        <v/>
      </c>
      <c r="HK15" s="36" t="str">
        <f t="shared" si="91"/>
        <v/>
      </c>
      <c r="HM15" s="36">
        <f t="shared" si="92"/>
        <v>999</v>
      </c>
      <c r="HN15" s="36">
        <f t="shared" si="93"/>
        <v>999</v>
      </c>
      <c r="HO15" s="36" t="str">
        <f t="shared" si="9"/>
        <v/>
      </c>
      <c r="HQ15" s="36">
        <f t="shared" si="94"/>
        <v>1</v>
      </c>
      <c r="HR15" s="36">
        <f t="shared" si="95"/>
        <v>0</v>
      </c>
      <c r="HS15" s="36" t="str">
        <f t="shared" si="173"/>
        <v/>
      </c>
      <c r="HT15" s="36">
        <f t="shared" si="96"/>
        <v>0</v>
      </c>
      <c r="HU15" s="149" t="str">
        <f t="shared" si="97"/>
        <v/>
      </c>
      <c r="HV15" s="138"/>
      <c r="HW15" s="36" t="str">
        <f t="shared" si="98"/>
        <v/>
      </c>
      <c r="HX15" s="36" t="str">
        <f t="shared" si="99"/>
        <v/>
      </c>
      <c r="HY15" s="36" t="str">
        <f t="shared" si="100"/>
        <v/>
      </c>
      <c r="HZ15" s="36" t="str">
        <f t="shared" si="101"/>
        <v/>
      </c>
      <c r="IA15" s="36" t="str">
        <f t="shared" si="102"/>
        <v/>
      </c>
      <c r="IC15" s="36" t="str">
        <f t="shared" si="174"/>
        <v/>
      </c>
      <c r="ID15" s="36" t="str">
        <f>(IF(HS15="","",(IF(HW15=HX15,$ID$6,IF(HW15=HY15,$ID$6,IF(HW15=HZ15,$ID$6,IF(HW15=IA15,$ID$6,"")))))))</f>
        <v/>
      </c>
      <c r="IE15" s="36" t="str">
        <f t="shared" si="104"/>
        <v/>
      </c>
      <c r="IG15" s="36" t="str">
        <f t="shared" si="106"/>
        <v/>
      </c>
      <c r="IH15" s="149" t="str">
        <f t="shared" si="107"/>
        <v/>
      </c>
      <c r="II15" s="138"/>
      <c r="IL15" s="36" t="str">
        <f t="shared" si="109"/>
        <v/>
      </c>
      <c r="IM15" s="36" t="str">
        <f t="shared" si="110"/>
        <v/>
      </c>
      <c r="IN15" s="36" t="str">
        <f t="shared" si="111"/>
        <v/>
      </c>
      <c r="IP15" s="36" t="str">
        <f>IN11</f>
        <v/>
      </c>
      <c r="IQ15" s="152"/>
      <c r="IR15" s="122">
        <v>9</v>
      </c>
      <c r="IS15" s="36" t="str">
        <f>IF(SUM($BH23:$BL23)&gt;1,$BH$2,"")</f>
        <v/>
      </c>
      <c r="IT15" s="36" t="str">
        <f t="shared" si="112"/>
        <v/>
      </c>
      <c r="IU15" s="36" t="str">
        <f t="shared" si="113"/>
        <v/>
      </c>
      <c r="IV15" s="36" t="str">
        <f t="shared" si="114"/>
        <v/>
      </c>
      <c r="IW15" s="36" t="str">
        <f t="shared" si="115"/>
        <v/>
      </c>
      <c r="IX15" s="36" t="str">
        <f t="shared" si="116"/>
        <v/>
      </c>
      <c r="IY15" s="36" t="str">
        <f t="shared" si="117"/>
        <v/>
      </c>
      <c r="IZ15" s="36" t="str">
        <f t="shared" si="118"/>
        <v/>
      </c>
      <c r="JB15" s="36">
        <f t="shared" si="119"/>
        <v>999</v>
      </c>
      <c r="JC15" s="36">
        <f t="shared" si="120"/>
        <v>999</v>
      </c>
      <c r="JD15" s="36" t="str">
        <f t="shared" si="10"/>
        <v/>
      </c>
      <c r="JF15" s="36">
        <f t="shared" si="121"/>
        <v>1</v>
      </c>
      <c r="JG15" s="36">
        <f t="shared" si="122"/>
        <v>0</v>
      </c>
      <c r="JH15" s="36" t="str">
        <f t="shared" si="175"/>
        <v/>
      </c>
      <c r="JI15" s="36">
        <f t="shared" si="123"/>
        <v>0</v>
      </c>
      <c r="JJ15" s="149" t="str">
        <f t="shared" si="124"/>
        <v/>
      </c>
      <c r="JM15" s="36" t="str">
        <f t="shared" si="125"/>
        <v/>
      </c>
      <c r="JN15" s="36" t="str">
        <f t="shared" si="126"/>
        <v/>
      </c>
      <c r="JO15" s="36" t="str">
        <f t="shared" si="127"/>
        <v/>
      </c>
      <c r="JP15" s="36" t="str">
        <f t="shared" si="128"/>
        <v/>
      </c>
      <c r="JQ15" s="36" t="str">
        <f t="shared" si="129"/>
        <v/>
      </c>
      <c r="JS15" s="36" t="str">
        <f t="shared" si="130"/>
        <v/>
      </c>
      <c r="JT15" s="36" t="str">
        <f t="shared" si="177"/>
        <v/>
      </c>
      <c r="JU15" s="36" t="str">
        <f t="shared" si="11"/>
        <v/>
      </c>
      <c r="JV15" s="36" t="str">
        <f t="shared" si="180"/>
        <v/>
      </c>
      <c r="JW15" s="36" t="str">
        <f t="shared" si="131"/>
        <v/>
      </c>
      <c r="JX15" s="149" t="str">
        <f t="shared" si="132"/>
        <v/>
      </c>
      <c r="JY15" s="138"/>
      <c r="JZ15" s="36" t="str">
        <f t="shared" si="133"/>
        <v/>
      </c>
      <c r="KB15" s="36" t="str">
        <f t="shared" si="134"/>
        <v/>
      </c>
      <c r="KC15" s="36" t="str">
        <f t="shared" si="135"/>
        <v/>
      </c>
      <c r="KD15" s="36" t="str">
        <f>IF(IR15=$KC$7,$KB$7,IF(IR15=$KC$8,$KB$8,IF(IR15=$KC$9,$KB$9,IF(IR15=$KC$10,$KB$10,IF(IR15=$KC$11,$KB$11,IF(IR15=$KC$12,$KB$12,IF(IR15=$KC$13,$KB$13,IF(IR15=$KC$14,$KB$14,""))))))))</f>
        <v/>
      </c>
      <c r="KF15" s="36" t="str">
        <f>KD11</f>
        <v/>
      </c>
      <c r="KG15" s="152"/>
      <c r="KH15" s="122">
        <v>9</v>
      </c>
      <c r="KI15" t="str">
        <f>IF(SUM($BH23:$BM23)&gt;1,$BH$2,"")</f>
        <v/>
      </c>
      <c r="KJ15" s="36" t="str">
        <f t="shared" si="137"/>
        <v/>
      </c>
      <c r="KK15" s="36" t="str">
        <f t="shared" si="138"/>
        <v/>
      </c>
      <c r="KL15" s="36" t="str">
        <f t="shared" si="139"/>
        <v/>
      </c>
      <c r="KM15" s="36" t="str">
        <f t="shared" si="140"/>
        <v/>
      </c>
      <c r="KN15" s="36" t="str">
        <f t="shared" si="141"/>
        <v/>
      </c>
      <c r="KO15" s="36" t="str">
        <f t="shared" si="142"/>
        <v/>
      </c>
      <c r="KP15" s="36" t="str">
        <f t="shared" si="143"/>
        <v/>
      </c>
      <c r="KQ15" s="36" t="str">
        <f t="shared" si="144"/>
        <v/>
      </c>
      <c r="KS15" s="36">
        <f t="shared" si="145"/>
        <v>999</v>
      </c>
      <c r="KT15" s="36">
        <f t="shared" si="146"/>
        <v>999</v>
      </c>
      <c r="KU15" s="36" t="str">
        <f t="shared" si="12"/>
        <v/>
      </c>
      <c r="KW15" s="36">
        <f t="shared" si="147"/>
        <v>1</v>
      </c>
      <c r="KX15" s="36">
        <f t="shared" si="148"/>
        <v>0</v>
      </c>
      <c r="KY15" s="36" t="str">
        <f t="shared" si="178"/>
        <v/>
      </c>
      <c r="KZ15" s="36">
        <f t="shared" si="149"/>
        <v>0</v>
      </c>
      <c r="LA15" s="149" t="str">
        <f t="shared" si="150"/>
        <v/>
      </c>
      <c r="LC15" s="36" t="str">
        <f t="shared" si="151"/>
        <v/>
      </c>
      <c r="LD15" s="36" t="str">
        <f t="shared" si="152"/>
        <v/>
      </c>
      <c r="LE15" s="36" t="str">
        <f t="shared" si="153"/>
        <v/>
      </c>
      <c r="LF15" s="36" t="str">
        <f t="shared" si="154"/>
        <v/>
      </c>
      <c r="LG15" s="36" t="str">
        <f t="shared" si="155"/>
        <v/>
      </c>
      <c r="LH15" s="36" t="str">
        <f t="shared" si="156"/>
        <v/>
      </c>
      <c r="LI15" s="36" t="str">
        <f t="shared" si="157"/>
        <v/>
      </c>
      <c r="LJ15" s="36" t="str">
        <f t="shared" si="158"/>
        <v/>
      </c>
      <c r="LK15" s="36" t="str">
        <f t="shared" si="159"/>
        <v/>
      </c>
      <c r="LL15" s="36" t="str">
        <f t="shared" si="160"/>
        <v/>
      </c>
      <c r="LM15" s="36" t="str">
        <f t="shared" si="161"/>
        <v/>
      </c>
      <c r="LN15" s="36" t="str">
        <f t="shared" si="162"/>
        <v/>
      </c>
      <c r="LO15" s="149" t="str">
        <f t="shared" si="163"/>
        <v/>
      </c>
      <c r="LP15" s="138"/>
      <c r="LQ15" s="36" t="str">
        <f t="shared" si="164"/>
        <v/>
      </c>
      <c r="LS15" s="36" t="str">
        <f t="shared" si="165"/>
        <v/>
      </c>
      <c r="LT15" s="36" t="str">
        <f t="shared" si="166"/>
        <v/>
      </c>
      <c r="LU15" s="36" t="str">
        <f t="shared" si="167"/>
        <v/>
      </c>
      <c r="LW15" s="36" t="str">
        <f>LU11</f>
        <v/>
      </c>
      <c r="LX15" s="152"/>
    </row>
    <row r="16" spans="1:336" ht="14.25" customHeight="1" thickBot="1" x14ac:dyDescent="0.3">
      <c r="A16" s="365"/>
      <c r="B16" s="360"/>
      <c r="C16" s="363"/>
      <c r="D16" s="362"/>
      <c r="E16" s="346"/>
      <c r="F16" s="29"/>
      <c r="G16" s="30"/>
      <c r="H16" s="346"/>
      <c r="I16" s="29"/>
      <c r="J16" s="30"/>
      <c r="K16" s="334"/>
      <c r="L16" s="29"/>
      <c r="M16" s="30"/>
      <c r="N16" s="334"/>
      <c r="O16" s="29"/>
      <c r="P16" s="30"/>
      <c r="Q16" s="334"/>
      <c r="R16" s="29"/>
      <c r="S16" s="30"/>
      <c r="T16" s="334"/>
      <c r="U16" s="29"/>
      <c r="V16" s="30"/>
      <c r="W16" s="337"/>
      <c r="X16" s="29"/>
      <c r="Y16" s="30"/>
      <c r="Z16" s="338"/>
      <c r="AA16" s="335"/>
      <c r="AB16" s="336"/>
      <c r="AC16" s="357"/>
      <c r="AD16" s="327"/>
      <c r="AE16" s="328"/>
      <c r="AG16" s="252">
        <v>10</v>
      </c>
      <c r="AH16" s="138" t="str">
        <f t="shared" si="13"/>
        <v/>
      </c>
      <c r="AI16" s="177"/>
      <c r="AJ16" s="36" t="str">
        <f t="shared" si="14"/>
        <v/>
      </c>
      <c r="AK16" s="149" t="str">
        <f t="shared" si="15"/>
        <v/>
      </c>
      <c r="AM16" s="138" t="str">
        <f t="shared" si="16"/>
        <v/>
      </c>
      <c r="AN16" s="177"/>
      <c r="AO16" s="36" t="str">
        <f t="shared" si="3"/>
        <v/>
      </c>
      <c r="AP16" s="149" t="str">
        <f t="shared" si="17"/>
        <v/>
      </c>
      <c r="AR16" s="138" t="str">
        <f t="shared" si="18"/>
        <v/>
      </c>
      <c r="AS16" s="177"/>
      <c r="AT16" s="36" t="str">
        <f t="shared" si="19"/>
        <v/>
      </c>
      <c r="AU16" s="149" t="str">
        <f t="shared" si="179"/>
        <v/>
      </c>
      <c r="AW16" s="138" t="str">
        <f t="shared" si="4"/>
        <v/>
      </c>
      <c r="AX16" s="177"/>
      <c r="AY16" s="36" t="str">
        <f t="shared" si="20"/>
        <v/>
      </c>
      <c r="AZ16" s="149" t="str">
        <f t="shared" si="21"/>
        <v/>
      </c>
      <c r="BB16" s="138" t="str">
        <f t="shared" si="22"/>
        <v/>
      </c>
      <c r="BC16" s="177"/>
      <c r="BD16" s="36" t="str">
        <f t="shared" si="23"/>
        <v/>
      </c>
      <c r="BE16" s="149" t="str">
        <f t="shared" si="24"/>
        <v/>
      </c>
      <c r="BH16" s="36" t="str">
        <f>IF(E16=$BQ$2,"",(IF(A16="","",(IF(F16="","",(IF(F16&lt;2,1,0)))))))</f>
        <v/>
      </c>
      <c r="BI16" s="36" t="str">
        <f>IF(H16=$BQ$2,"",(IF(A16="","",(IF(I16="","",(IF(I16&lt;2,1,0)))))))</f>
        <v/>
      </c>
      <c r="BJ16" s="36" t="str">
        <f>IF(K16=$BQ$2,"",(IF(A16="","",(IF(L16="","",(IF(L16&lt;2,1,0)))))))</f>
        <v/>
      </c>
      <c r="BK16" s="36" t="str">
        <f>IF(W16=$BQ$2,"",(IF(A16="","",(IF(X16="","",(IF(X16&lt;2,1,0)))))))</f>
        <v/>
      </c>
      <c r="BP16" s="36" t="str">
        <f>IF(BH16="","",(SUM(BH16:BK16)))</f>
        <v/>
      </c>
      <c r="BR16" s="36" t="str">
        <f>BP25</f>
        <v/>
      </c>
      <c r="BS16" s="36" t="str">
        <f>D25</f>
        <v/>
      </c>
      <c r="BT16" s="36" t="str">
        <f>IF(SUM(BH25,BI25)=2,$BH$2,"")</f>
        <v/>
      </c>
      <c r="BV16" s="36">
        <f t="shared" si="5"/>
        <v>999</v>
      </c>
      <c r="BW16" s="36">
        <f t="shared" si="25"/>
        <v>999</v>
      </c>
      <c r="BX16" s="36">
        <f t="shared" si="168"/>
        <v>10</v>
      </c>
      <c r="BY16" s="36">
        <f t="shared" si="26"/>
        <v>999</v>
      </c>
      <c r="CB16" s="122">
        <v>10</v>
      </c>
      <c r="CC16" s="36">
        <f>IF(D25="",0,D25)</f>
        <v>0</v>
      </c>
      <c r="CD16" s="36">
        <f t="shared" si="27"/>
        <v>0</v>
      </c>
      <c r="CE16" s="36">
        <f t="shared" si="28"/>
        <v>0</v>
      </c>
      <c r="CH16" s="36">
        <f t="shared" si="169"/>
        <v>0</v>
      </c>
      <c r="CI16" s="36">
        <f t="shared" si="29"/>
        <v>0</v>
      </c>
      <c r="CJ16" s="36">
        <f t="shared" si="30"/>
        <v>0</v>
      </c>
      <c r="CM16" s="36">
        <f t="shared" si="170"/>
        <v>0</v>
      </c>
      <c r="CO16" s="36">
        <f t="shared" si="31"/>
        <v>0</v>
      </c>
      <c r="CP16" s="36" t="str">
        <f t="shared" si="32"/>
        <v/>
      </c>
      <c r="CQ16" s="36">
        <f t="shared" si="33"/>
        <v>999</v>
      </c>
      <c r="CR16" s="36">
        <f t="shared" si="34"/>
        <v>10</v>
      </c>
      <c r="CS16" s="36">
        <f t="shared" si="35"/>
        <v>10</v>
      </c>
      <c r="CT16" s="36">
        <f t="shared" si="36"/>
        <v>999</v>
      </c>
      <c r="CU16" s="36" t="str">
        <f t="shared" si="37"/>
        <v/>
      </c>
      <c r="CV16" s="36">
        <f t="shared" si="38"/>
        <v>0</v>
      </c>
      <c r="CW16" s="36">
        <f t="shared" si="39"/>
        <v>0</v>
      </c>
      <c r="CX16" s="149" t="str">
        <f t="shared" si="171"/>
        <v/>
      </c>
      <c r="DA16" s="36" t="str">
        <f>D25</f>
        <v/>
      </c>
      <c r="DB16" s="36" t="str">
        <f>E25</f>
        <v/>
      </c>
      <c r="DC16" s="36" t="str">
        <f>H25</f>
        <v/>
      </c>
      <c r="DD16" s="36" t="str">
        <f t="shared" si="40"/>
        <v/>
      </c>
      <c r="DF16" s="36" t="str">
        <f t="shared" si="41"/>
        <v/>
      </c>
      <c r="DG16" s="36" t="str">
        <f t="shared" si="42"/>
        <v/>
      </c>
      <c r="DH16" s="36" t="str">
        <f t="shared" si="43"/>
        <v/>
      </c>
      <c r="DI16" s="36" t="str">
        <f t="shared" si="6"/>
        <v/>
      </c>
      <c r="DJ16" s="36" t="str">
        <f t="shared" si="44"/>
        <v/>
      </c>
      <c r="DL16" s="36" t="str">
        <f t="shared" si="7"/>
        <v/>
      </c>
      <c r="DM16" s="149" t="str">
        <f t="shared" si="45"/>
        <v/>
      </c>
      <c r="DN16" s="36" t="str">
        <f t="shared" si="46"/>
        <v/>
      </c>
      <c r="DO16" s="36" t="str">
        <f t="shared" si="47"/>
        <v/>
      </c>
      <c r="DP16" s="36" t="str">
        <f t="shared" si="48"/>
        <v/>
      </c>
      <c r="DR16" s="36" t="str">
        <f t="shared" si="49"/>
        <v/>
      </c>
      <c r="DS16" s="36" t="str">
        <f t="shared" si="50"/>
        <v/>
      </c>
      <c r="DT16" s="36" t="str">
        <f t="shared" si="51"/>
        <v/>
      </c>
      <c r="DX16" s="152" t="str">
        <f t="shared" si="52"/>
        <v/>
      </c>
      <c r="DY16" s="36" t="str">
        <f t="shared" si="53"/>
        <v/>
      </c>
      <c r="DZ16" s="36" t="str">
        <f t="shared" si="54"/>
        <v/>
      </c>
      <c r="EA16" s="36" t="str">
        <f t="shared" si="55"/>
        <v/>
      </c>
      <c r="EB16" s="173" t="str">
        <f t="shared" si="56"/>
        <v/>
      </c>
      <c r="ED16" s="122">
        <v>10</v>
      </c>
      <c r="EE16" s="36" t="str">
        <f t="shared" si="57"/>
        <v/>
      </c>
      <c r="EF16" s="36">
        <f t="shared" si="58"/>
        <v>0</v>
      </c>
      <c r="EG16" s="36" t="str">
        <f>IF(SUM($BH25:$BJ25)=2,$BH$2,"")</f>
        <v/>
      </c>
      <c r="EH16" s="36" t="str">
        <f t="shared" si="59"/>
        <v/>
      </c>
      <c r="EJ16" s="36">
        <f t="shared" si="60"/>
        <v>999</v>
      </c>
      <c r="EK16" s="36">
        <f t="shared" si="61"/>
        <v>999</v>
      </c>
      <c r="EL16" s="36" t="str">
        <f t="shared" si="62"/>
        <v/>
      </c>
      <c r="EM16" s="36">
        <f t="shared" si="63"/>
        <v>1</v>
      </c>
      <c r="EN16" s="36">
        <f t="shared" si="64"/>
        <v>0</v>
      </c>
      <c r="EQ16" s="36" t="str">
        <f t="shared" si="172"/>
        <v/>
      </c>
      <c r="ER16" s="36">
        <f t="shared" si="65"/>
        <v>0</v>
      </c>
      <c r="ES16" s="36">
        <f t="shared" si="66"/>
        <v>0</v>
      </c>
      <c r="ET16" s="149" t="str">
        <f t="shared" si="67"/>
        <v/>
      </c>
      <c r="EV16" s="36" t="str">
        <f>D25</f>
        <v/>
      </c>
      <c r="EW16" s="36" t="str">
        <f>E25</f>
        <v/>
      </c>
      <c r="EX16" s="36" t="str">
        <f>H25</f>
        <v/>
      </c>
      <c r="EY16" s="36" t="str">
        <f>K25</f>
        <v/>
      </c>
      <c r="EZ16" s="36" t="str">
        <f t="shared" si="68"/>
        <v/>
      </c>
      <c r="FB16" s="36" t="str">
        <f t="shared" si="69"/>
        <v/>
      </c>
      <c r="FC16" s="36" t="str">
        <f t="shared" si="70"/>
        <v/>
      </c>
      <c r="FD16" s="36" t="str">
        <f t="shared" si="71"/>
        <v/>
      </c>
      <c r="FE16" s="36" t="str">
        <f t="shared" si="72"/>
        <v/>
      </c>
      <c r="FF16" s="36" t="str">
        <f t="shared" si="73"/>
        <v/>
      </c>
      <c r="FG16" s="36" t="str">
        <f t="shared" si="74"/>
        <v/>
      </c>
      <c r="FI16" s="36" t="str">
        <f t="shared" si="75"/>
        <v/>
      </c>
      <c r="FJ16" s="36" t="str">
        <f t="shared" si="76"/>
        <v/>
      </c>
      <c r="FL16" s="36" t="str">
        <f t="shared" si="77"/>
        <v/>
      </c>
      <c r="FM16" s="36" t="str">
        <f t="shared" si="78"/>
        <v/>
      </c>
      <c r="FN16" s="36" t="str">
        <f t="shared" si="79"/>
        <v/>
      </c>
      <c r="FO16" s="36" t="str">
        <f t="shared" si="80"/>
        <v/>
      </c>
      <c r="FP16" s="36" t="str">
        <f t="shared" si="81"/>
        <v/>
      </c>
      <c r="FQ16" s="36" t="str">
        <f t="shared" si="82"/>
        <v/>
      </c>
      <c r="FR16" s="173" t="str">
        <f t="shared" si="8"/>
        <v/>
      </c>
      <c r="FT16" s="36">
        <v>10</v>
      </c>
      <c r="FV16" s="36" t="str">
        <f t="shared" si="83"/>
        <v/>
      </c>
      <c r="FW16" s="36" t="str">
        <f t="shared" si="84"/>
        <v/>
      </c>
      <c r="FX16" s="36" t="str">
        <f t="shared" si="85"/>
        <v/>
      </c>
      <c r="GA16" s="152"/>
      <c r="GB16" s="122">
        <v>10</v>
      </c>
      <c r="GC16" s="36" t="str">
        <f>IF(D25="","",D25)</f>
        <v/>
      </c>
      <c r="GD16" s="36" t="str">
        <f>IF(E25="","",E25)</f>
        <v/>
      </c>
      <c r="GE16" s="36" t="str">
        <f>IF(H25="","",H25)</f>
        <v/>
      </c>
      <c r="GF16" s="36" t="str">
        <f>IF(K25="","",K25)</f>
        <v/>
      </c>
      <c r="GG16" s="36" t="str">
        <f>IF(N25="","",N25)</f>
        <v/>
      </c>
      <c r="GH16" s="36" t="str">
        <f>IF(Q25="","",Q25)</f>
        <v/>
      </c>
      <c r="GI16" s="36" t="str">
        <f>IF(T25="","",T25)</f>
        <v/>
      </c>
      <c r="GJ16" s="36" t="str">
        <f>IF(W25="","",W25)</f>
        <v/>
      </c>
      <c r="GK16" s="36" t="str">
        <f>IF(C25="","",C25)</f>
        <v/>
      </c>
      <c r="GM16" s="36" t="str">
        <f>IF(F25="","",F25)</f>
        <v/>
      </c>
      <c r="GN16" s="36" t="str">
        <f>IF(I25="","",I25)</f>
        <v/>
      </c>
      <c r="GO16" s="36" t="str">
        <f>IF(L25="","",L25)</f>
        <v/>
      </c>
      <c r="GP16" s="36" t="str">
        <f>IF(O25="","",O25)</f>
        <v/>
      </c>
      <c r="GQ16" s="36" t="str">
        <f>IF(R25="","",R25)</f>
        <v/>
      </c>
      <c r="GR16" s="36" t="str">
        <f>IF(U25="","",U25)</f>
        <v/>
      </c>
      <c r="GS16" s="36" t="str">
        <f>IF(X25="","",X25)</f>
        <v/>
      </c>
      <c r="GU16" s="36" t="str">
        <f>IF(F26="","",F26)</f>
        <v/>
      </c>
      <c r="GV16" s="36" t="str">
        <f>IF(I26="","",I26)</f>
        <v/>
      </c>
      <c r="GW16" s="36" t="str">
        <f>IF(L26="","",L26)</f>
        <v/>
      </c>
      <c r="GX16" s="36" t="str">
        <f>IF(O26="","",O26)</f>
        <v/>
      </c>
      <c r="GY16" s="36" t="str">
        <f>IF(R26="","",R26)</f>
        <v/>
      </c>
      <c r="GZ16" s="36" t="str">
        <f>IF(U26="","",U26)</f>
        <v/>
      </c>
      <c r="HA16" s="36" t="str">
        <f>IF(X26="","",X26)</f>
        <v/>
      </c>
      <c r="HB16" s="152"/>
      <c r="HC16" s="122">
        <v>10</v>
      </c>
      <c r="HD16" s="36" t="str">
        <f>IF(SUM($BH25:$BK25)&gt;=2,$BH$2,"")</f>
        <v/>
      </c>
      <c r="HE16" s="36" t="str">
        <f t="shared" si="86"/>
        <v/>
      </c>
      <c r="HF16" s="36" t="str">
        <f t="shared" si="87"/>
        <v/>
      </c>
      <c r="HG16" s="36" t="str">
        <f t="shared" si="88"/>
        <v/>
      </c>
      <c r="HH16" s="36" t="str">
        <f t="shared" si="89"/>
        <v/>
      </c>
      <c r="HI16" s="36" t="str">
        <f t="shared" si="90"/>
        <v/>
      </c>
      <c r="HK16" s="36" t="str">
        <f t="shared" si="91"/>
        <v/>
      </c>
      <c r="HM16" s="36">
        <f t="shared" si="92"/>
        <v>999</v>
      </c>
      <c r="HN16" s="36">
        <f t="shared" si="93"/>
        <v>999</v>
      </c>
      <c r="HO16" s="36" t="str">
        <f t="shared" si="9"/>
        <v/>
      </c>
      <c r="HQ16" s="36">
        <f t="shared" si="94"/>
        <v>1</v>
      </c>
      <c r="HR16" s="36">
        <f t="shared" si="95"/>
        <v>0</v>
      </c>
      <c r="HS16" s="36" t="str">
        <f t="shared" si="173"/>
        <v/>
      </c>
      <c r="HT16" s="36">
        <f t="shared" si="96"/>
        <v>0</v>
      </c>
      <c r="HU16" s="149" t="str">
        <f t="shared" si="97"/>
        <v/>
      </c>
      <c r="HV16" s="138"/>
      <c r="HW16" s="36" t="str">
        <f t="shared" si="98"/>
        <v/>
      </c>
      <c r="HX16" s="36" t="str">
        <f t="shared" si="99"/>
        <v/>
      </c>
      <c r="HY16" s="36" t="str">
        <f t="shared" si="100"/>
        <v/>
      </c>
      <c r="HZ16" s="36" t="str">
        <f t="shared" si="101"/>
        <v/>
      </c>
      <c r="IA16" s="36" t="str">
        <f t="shared" si="102"/>
        <v/>
      </c>
      <c r="IC16" s="36" t="str">
        <f t="shared" si="174"/>
        <v/>
      </c>
      <c r="ID16" s="36" t="str">
        <f>(IF(HS16="","",(IF(HW16=HX16,$ID$6,IF(HW16=HY16,$ID$6,IF(HW16=HZ16,$ID$6,IF(HW16=IA16,$ID$6,"")))))))</f>
        <v/>
      </c>
      <c r="IE16" s="36" t="str">
        <f t="shared" si="104"/>
        <v/>
      </c>
      <c r="IH16" s="149" t="str">
        <f t="shared" si="107"/>
        <v/>
      </c>
      <c r="II16" s="138"/>
      <c r="IL16" s="36" t="str">
        <f t="shared" si="109"/>
        <v/>
      </c>
      <c r="IM16" s="36" t="str">
        <f>IF(HU16="",IF(HS16="","",HS16),HU16)</f>
        <v/>
      </c>
      <c r="IN16" s="36" t="str">
        <f t="shared" si="111"/>
        <v/>
      </c>
      <c r="IQ16" s="152"/>
      <c r="IR16" s="122">
        <v>10</v>
      </c>
      <c r="IS16" s="36" t="str">
        <f>IF(SUM($BH25:$BL25)&gt;1,$BH$2,"")</f>
        <v/>
      </c>
      <c r="IT16" s="36" t="str">
        <f t="shared" si="112"/>
        <v/>
      </c>
      <c r="IU16" s="36" t="str">
        <f t="shared" si="113"/>
        <v/>
      </c>
      <c r="IV16" s="36" t="str">
        <f t="shared" si="114"/>
        <v/>
      </c>
      <c r="IW16" s="36" t="str">
        <f t="shared" si="115"/>
        <v/>
      </c>
      <c r="IX16" s="36" t="str">
        <f t="shared" si="116"/>
        <v/>
      </c>
      <c r="IY16" s="36" t="str">
        <f t="shared" si="117"/>
        <v/>
      </c>
      <c r="IZ16" s="36" t="str">
        <f t="shared" si="118"/>
        <v/>
      </c>
      <c r="JB16" s="36">
        <f t="shared" si="119"/>
        <v>999</v>
      </c>
      <c r="JC16" s="36">
        <f t="shared" si="120"/>
        <v>999</v>
      </c>
      <c r="JD16" s="36" t="str">
        <f t="shared" si="10"/>
        <v/>
      </c>
      <c r="JF16" s="36">
        <f t="shared" si="121"/>
        <v>1</v>
      </c>
      <c r="JG16" s="36">
        <f t="shared" si="122"/>
        <v>0</v>
      </c>
      <c r="JH16" s="36" t="str">
        <f t="shared" si="175"/>
        <v/>
      </c>
      <c r="JI16" s="36">
        <f t="shared" si="123"/>
        <v>0</v>
      </c>
      <c r="JJ16" s="149" t="str">
        <f t="shared" si="124"/>
        <v/>
      </c>
      <c r="JM16" s="36" t="str">
        <f t="shared" si="125"/>
        <v/>
      </c>
      <c r="JN16" s="36" t="str">
        <f t="shared" si="126"/>
        <v/>
      </c>
      <c r="JO16" s="36" t="str">
        <f t="shared" si="127"/>
        <v/>
      </c>
      <c r="JP16" s="36" t="str">
        <f t="shared" si="128"/>
        <v/>
      </c>
      <c r="JQ16" s="36" t="str">
        <f t="shared" si="129"/>
        <v/>
      </c>
      <c r="JS16" s="36" t="str">
        <f t="shared" si="130"/>
        <v/>
      </c>
      <c r="JT16" s="36" t="str">
        <f t="shared" si="177"/>
        <v/>
      </c>
      <c r="JU16" s="36" t="str">
        <f>IF(JH16="","",(IF(JL16=$JH$7,$JK$7,IF(JL16=$JH$8,$JK$8,IF(JL16=$JH$9,$JK$9,IF(JL16=$JH$10,$JK$10,IF(JL16=$JH$11,$JK$11,IF(JL16=$JH$12,$JK$12,IF(JL16=$JH$13,$JK$13,IF(JL16=$JH$14,$JK$14,""))))))))))</f>
        <v/>
      </c>
      <c r="JV16" s="36" t="str">
        <f t="shared" si="180"/>
        <v/>
      </c>
      <c r="JW16" s="36" t="str">
        <f t="shared" si="131"/>
        <v/>
      </c>
      <c r="JX16" s="149" t="str">
        <f t="shared" si="132"/>
        <v/>
      </c>
      <c r="JY16" s="138"/>
      <c r="JZ16" s="36" t="str">
        <f>IF(JH16="","",(IF(JH16=$JL$7,$HS$7,IF(JH16=$JL$8,$HS$8,IF(JH16=$JL$9,$HS$9,IF(JH16=$JL$10,$HS$10,IF(JH16=$JL$11,$HS$11,IF(JH16=$JL$12,$HS$12,IF(JH16=$JL$13,$HS$13,IF(JH16=$JL$14,$HS$14,""))))))))))</f>
        <v/>
      </c>
      <c r="KB16" s="36" t="str">
        <f t="shared" si="134"/>
        <v/>
      </c>
      <c r="KC16" s="36" t="str">
        <f t="shared" si="135"/>
        <v/>
      </c>
      <c r="KD16" s="36" t="str">
        <f t="shared" si="136"/>
        <v/>
      </c>
      <c r="KG16" s="152"/>
      <c r="KH16" s="122">
        <v>10</v>
      </c>
      <c r="KI16" t="str">
        <f>IF(SUM($BH25:$BM25)&gt;1,$BH$2,"")</f>
        <v/>
      </c>
      <c r="KJ16" s="36" t="str">
        <f t="shared" si="137"/>
        <v/>
      </c>
      <c r="KK16" s="36" t="str">
        <f t="shared" si="138"/>
        <v/>
      </c>
      <c r="KL16" s="36" t="str">
        <f t="shared" si="139"/>
        <v/>
      </c>
      <c r="KM16" s="36" t="str">
        <f t="shared" si="140"/>
        <v/>
      </c>
      <c r="KN16" s="36" t="str">
        <f t="shared" si="141"/>
        <v/>
      </c>
      <c r="KO16" s="36" t="str">
        <f t="shared" si="142"/>
        <v/>
      </c>
      <c r="KP16" s="36" t="str">
        <f t="shared" si="143"/>
        <v/>
      </c>
      <c r="KQ16" s="36" t="str">
        <f t="shared" si="144"/>
        <v/>
      </c>
      <c r="KS16" s="36">
        <f t="shared" si="145"/>
        <v>999</v>
      </c>
      <c r="KT16" s="36">
        <f t="shared" si="146"/>
        <v>999</v>
      </c>
      <c r="KU16" s="36" t="str">
        <f t="shared" si="12"/>
        <v/>
      </c>
      <c r="KW16" s="36">
        <f t="shared" si="147"/>
        <v>1</v>
      </c>
      <c r="KX16" s="36">
        <f t="shared" si="148"/>
        <v>0</v>
      </c>
      <c r="KY16" s="36" t="str">
        <f t="shared" si="178"/>
        <v/>
      </c>
      <c r="KZ16" s="36">
        <f t="shared" si="149"/>
        <v>0</v>
      </c>
      <c r="LA16" s="149" t="str">
        <f t="shared" si="150"/>
        <v/>
      </c>
      <c r="LC16" s="36" t="str">
        <f t="shared" si="151"/>
        <v/>
      </c>
      <c r="LD16" s="36" t="str">
        <f t="shared" si="152"/>
        <v/>
      </c>
      <c r="LE16" s="36" t="str">
        <f t="shared" si="153"/>
        <v/>
      </c>
      <c r="LF16" s="36" t="str">
        <f t="shared" si="154"/>
        <v/>
      </c>
      <c r="LG16" s="36" t="str">
        <f t="shared" si="155"/>
        <v/>
      </c>
      <c r="LH16" s="36" t="str">
        <f t="shared" si="156"/>
        <v/>
      </c>
      <c r="LI16" s="36" t="str">
        <f t="shared" si="157"/>
        <v/>
      </c>
      <c r="LJ16" s="36" t="str">
        <f t="shared" si="158"/>
        <v/>
      </c>
      <c r="LK16" s="36" t="str">
        <f t="shared" si="159"/>
        <v/>
      </c>
      <c r="LL16" s="36" t="str">
        <f t="shared" si="160"/>
        <v/>
      </c>
      <c r="LM16" s="36" t="str">
        <f t="shared" si="161"/>
        <v/>
      </c>
      <c r="LN16" s="36" t="str">
        <f t="shared" si="162"/>
        <v/>
      </c>
      <c r="LO16" s="149" t="str">
        <f t="shared" si="163"/>
        <v/>
      </c>
      <c r="LP16" s="138"/>
      <c r="LQ16" s="36" t="str">
        <f t="shared" si="164"/>
        <v/>
      </c>
      <c r="LS16" s="36" t="str">
        <f t="shared" si="165"/>
        <v/>
      </c>
      <c r="LT16" s="36" t="str">
        <f t="shared" si="166"/>
        <v/>
      </c>
      <c r="LU16" s="36" t="str">
        <f t="shared" si="167"/>
        <v/>
      </c>
      <c r="LX16" s="152"/>
    </row>
    <row r="17" spans="1:336" ht="14.25" customHeight="1" thickBot="1" x14ac:dyDescent="0.3">
      <c r="A17" s="364" t="str">
        <f>'Vážní listina'!HQ17</f>
        <v/>
      </c>
      <c r="B17" s="359" t="str">
        <f>'Vážní listina'!HR17</f>
        <v/>
      </c>
      <c r="C17" s="363" t="str">
        <f>IF(BP17="","",(IF(BP17&gt;1,$BH$2,"")))</f>
        <v/>
      </c>
      <c r="D17" s="361" t="str">
        <f>'Vážní listina'!HK17</f>
        <v/>
      </c>
      <c r="E17" s="343" t="str">
        <f>'Vážní listina'!HL17</f>
        <v/>
      </c>
      <c r="F17" s="26"/>
      <c r="G17" s="32"/>
      <c r="H17" s="334" t="str">
        <f>IF(H5="","",'Vážní listina'!HM17)</f>
        <v/>
      </c>
      <c r="I17" s="26"/>
      <c r="J17" s="32"/>
      <c r="K17" s="334" t="str">
        <f>IF(K5="","",DV17)</f>
        <v/>
      </c>
      <c r="L17" s="26"/>
      <c r="M17" s="32"/>
      <c r="N17" s="334" t="str">
        <f>IF(N5="","",FZ17)</f>
        <v/>
      </c>
      <c r="O17" s="26"/>
      <c r="P17" s="32"/>
      <c r="Q17" s="334" t="str">
        <f>IF(Q5="","",IP17)</f>
        <v/>
      </c>
      <c r="R17" s="26"/>
      <c r="S17" s="32"/>
      <c r="T17" s="334" t="str">
        <f>IF(T5="","",KF17)</f>
        <v/>
      </c>
      <c r="U17" s="26"/>
      <c r="V17" s="32"/>
      <c r="W17" s="337" t="str">
        <f>IF(W5="","",LW17)</f>
        <v/>
      </c>
      <c r="X17" s="26"/>
      <c r="Y17" s="32"/>
      <c r="Z17" s="338" t="str">
        <f>IF(A17="","",(F17+I17+L17+O17+R17+U17+X17))</f>
        <v/>
      </c>
      <c r="AA17" s="335" t="str">
        <f>IF(A17="","",(F18+I18+L18+O18+R18+U18+X18))</f>
        <v/>
      </c>
      <c r="AB17" s="336" t="str">
        <f>IF(A17="","",(G17+J17+M17+P17+S17+V17+Y17))</f>
        <v/>
      </c>
      <c r="AC17" s="356" t="str">
        <f>HF90</f>
        <v/>
      </c>
      <c r="AD17" s="328"/>
      <c r="AE17" s="328" t="str">
        <f>IF(D17="","",(IF('Tabulka finále'!$BK$47=1,(IF('Tabulka finále'!$K$56="","",(IF($AC$5="","",(IF($H$5="","",(FW128))))))),"")))</f>
        <v/>
      </c>
      <c r="AG17" s="252">
        <v>11</v>
      </c>
      <c r="AH17" s="138" t="str">
        <f t="shared" si="13"/>
        <v/>
      </c>
      <c r="AI17" s="177"/>
      <c r="AJ17" s="36" t="str">
        <f t="shared" si="14"/>
        <v/>
      </c>
      <c r="AK17" s="149" t="str">
        <f t="shared" si="15"/>
        <v/>
      </c>
      <c r="AM17" s="138" t="str">
        <f t="shared" si="16"/>
        <v/>
      </c>
      <c r="AN17" s="177"/>
      <c r="AO17" s="36" t="str">
        <f t="shared" si="3"/>
        <v/>
      </c>
      <c r="AP17" s="149" t="str">
        <f t="shared" si="17"/>
        <v/>
      </c>
      <c r="AR17" s="138" t="str">
        <f t="shared" si="18"/>
        <v/>
      </c>
      <c r="AS17" s="177"/>
      <c r="AT17" s="36" t="str">
        <f t="shared" si="19"/>
        <v/>
      </c>
      <c r="AU17" s="149" t="str">
        <f t="shared" si="179"/>
        <v/>
      </c>
      <c r="AW17" s="138" t="str">
        <f t="shared" si="4"/>
        <v/>
      </c>
      <c r="AX17" s="177"/>
      <c r="AY17" s="36" t="str">
        <f t="shared" si="20"/>
        <v/>
      </c>
      <c r="AZ17" s="149" t="str">
        <f t="shared" si="21"/>
        <v/>
      </c>
      <c r="BB17" s="138" t="str">
        <f t="shared" si="22"/>
        <v/>
      </c>
      <c r="BC17" s="177"/>
      <c r="BD17" s="36" t="str">
        <f t="shared" si="23"/>
        <v/>
      </c>
      <c r="BE17" s="149" t="str">
        <f t="shared" si="24"/>
        <v/>
      </c>
      <c r="BG17" s="36">
        <f>IF(A17="",0,1)</f>
        <v>0</v>
      </c>
      <c r="BH17" s="36" t="str">
        <f>(IF(E17="","",(IF(E17=$BQ$2,0,(IF(A17="","",(IF(F17="","",(IF(F17&lt;2,1,0))))))))))</f>
        <v/>
      </c>
      <c r="BI17" s="36" t="str">
        <f>IF(H17=$BQ$2,0,(IF(A17="","",(IF(I17="","",(IF(I17&lt;2,1,0)))))))</f>
        <v/>
      </c>
      <c r="BJ17" s="36" t="str">
        <f>IF(L17="","",(IF(L17&lt;2,1,0)))</f>
        <v/>
      </c>
      <c r="BK17" s="36" t="str">
        <f>IF(O17="","",(IF(O17&lt;2,1,0)))</f>
        <v/>
      </c>
      <c r="BL17" s="36" t="str">
        <f>IF(R17="","",(IF(R17&lt;2,1,0)))</f>
        <v/>
      </c>
      <c r="BM17" s="36" t="str">
        <f>IF(U17="","",(IF(U17&lt;2,1,0)))</f>
        <v/>
      </c>
      <c r="BN17" s="36" t="str">
        <f>IF(X17="","",(IF(X17&lt;2,1,0)))</f>
        <v/>
      </c>
      <c r="BP17" s="36" t="str">
        <f>IF(BG17=0,"",(SUM(BH17:BN17)))</f>
        <v/>
      </c>
      <c r="BR17" s="36" t="str">
        <f>BP27</f>
        <v/>
      </c>
      <c r="BS17" s="36" t="str">
        <f>D27</f>
        <v/>
      </c>
      <c r="BT17" s="36" t="str">
        <f>IF(SUM(BH27,BI27)=2,$BH$2,"")</f>
        <v/>
      </c>
      <c r="BV17" s="36">
        <f t="shared" si="5"/>
        <v>999</v>
      </c>
      <c r="BW17" s="36">
        <f t="shared" si="25"/>
        <v>999</v>
      </c>
      <c r="BX17" s="36">
        <f t="shared" si="168"/>
        <v>11</v>
      </c>
      <c r="BY17" s="36">
        <f t="shared" si="26"/>
        <v>999</v>
      </c>
      <c r="CB17" s="122">
        <v>11</v>
      </c>
      <c r="CC17" s="36">
        <f>IF(D27="",0,D27)</f>
        <v>0</v>
      </c>
      <c r="CD17" s="36">
        <f t="shared" si="27"/>
        <v>0</v>
      </c>
      <c r="CE17" s="36">
        <f t="shared" si="28"/>
        <v>0</v>
      </c>
      <c r="CH17" s="36">
        <f t="shared" si="169"/>
        <v>0</v>
      </c>
      <c r="CI17" s="36">
        <f t="shared" si="29"/>
        <v>0</v>
      </c>
      <c r="CJ17" s="36">
        <f t="shared" si="30"/>
        <v>0</v>
      </c>
      <c r="CM17" s="36">
        <f t="shared" si="170"/>
        <v>0</v>
      </c>
      <c r="CO17" s="36">
        <f t="shared" si="31"/>
        <v>0</v>
      </c>
      <c r="CP17" s="36" t="str">
        <f t="shared" si="32"/>
        <v/>
      </c>
      <c r="CQ17" s="36">
        <f t="shared" si="33"/>
        <v>999</v>
      </c>
      <c r="CR17" s="36">
        <f t="shared" si="34"/>
        <v>11</v>
      </c>
      <c r="CS17" s="36">
        <f t="shared" si="35"/>
        <v>11</v>
      </c>
      <c r="CT17" s="36">
        <f t="shared" si="36"/>
        <v>999</v>
      </c>
      <c r="CU17" s="36" t="str">
        <f t="shared" si="37"/>
        <v/>
      </c>
      <c r="CV17" s="36">
        <f t="shared" si="38"/>
        <v>0</v>
      </c>
      <c r="CW17" s="36">
        <f t="shared" si="39"/>
        <v>0</v>
      </c>
      <c r="CX17" s="149" t="str">
        <f>IF(CW17=0,CU17,$BQ$2)</f>
        <v/>
      </c>
      <c r="DA17" s="36" t="str">
        <f>D27</f>
        <v/>
      </c>
      <c r="DB17" s="36" t="str">
        <f>E27</f>
        <v/>
      </c>
      <c r="DC17" s="36" t="str">
        <f>H27</f>
        <v/>
      </c>
      <c r="DD17" s="36" t="str">
        <f t="shared" si="40"/>
        <v/>
      </c>
      <c r="DF17" s="36" t="str">
        <f t="shared" si="41"/>
        <v/>
      </c>
      <c r="DG17" s="36" t="str">
        <f t="shared" si="42"/>
        <v/>
      </c>
      <c r="DH17" s="36" t="str">
        <f t="shared" si="43"/>
        <v/>
      </c>
      <c r="DI17" s="36" t="str">
        <f t="shared" si="6"/>
        <v/>
      </c>
      <c r="DJ17" s="36" t="str">
        <f t="shared" si="44"/>
        <v/>
      </c>
      <c r="DL17" s="36" t="str">
        <f t="shared" si="7"/>
        <v/>
      </c>
      <c r="DM17" s="149" t="str">
        <f t="shared" si="45"/>
        <v/>
      </c>
      <c r="DN17" s="36" t="str">
        <f t="shared" si="46"/>
        <v/>
      </c>
      <c r="DO17" s="36" t="str">
        <f t="shared" si="47"/>
        <v/>
      </c>
      <c r="DP17" s="36" t="str">
        <f t="shared" si="48"/>
        <v/>
      </c>
      <c r="DR17" s="36" t="str">
        <f t="shared" si="49"/>
        <v/>
      </c>
      <c r="DS17" s="36" t="str">
        <f t="shared" si="50"/>
        <v/>
      </c>
      <c r="DT17" s="36" t="str">
        <f t="shared" si="51"/>
        <v/>
      </c>
      <c r="DV17" s="36" t="str">
        <f>DT12</f>
        <v/>
      </c>
      <c r="DX17" s="152" t="str">
        <f t="shared" si="52"/>
        <v/>
      </c>
      <c r="DY17" s="36" t="str">
        <f t="shared" si="53"/>
        <v/>
      </c>
      <c r="DZ17" s="36" t="str">
        <f t="shared" si="54"/>
        <v/>
      </c>
      <c r="EA17" s="36" t="str">
        <f t="shared" si="55"/>
        <v/>
      </c>
      <c r="EB17" s="173" t="str">
        <f t="shared" si="56"/>
        <v/>
      </c>
      <c r="ED17" s="122">
        <v>11</v>
      </c>
      <c r="EE17" s="36" t="str">
        <f t="shared" si="57"/>
        <v/>
      </c>
      <c r="EF17" s="36">
        <f t="shared" si="58"/>
        <v>0</v>
      </c>
      <c r="EG17" s="36" t="str">
        <f>IF(SUM($BH27:$BJ27)=2,$BH$2,"")</f>
        <v/>
      </c>
      <c r="EH17" s="36" t="str">
        <f t="shared" si="59"/>
        <v/>
      </c>
      <c r="EJ17" s="36">
        <f t="shared" si="60"/>
        <v>999</v>
      </c>
      <c r="EK17" s="36">
        <f t="shared" si="61"/>
        <v>999</v>
      </c>
      <c r="EL17" s="36" t="str">
        <f t="shared" si="62"/>
        <v/>
      </c>
      <c r="EM17" s="36">
        <f t="shared" si="63"/>
        <v>1</v>
      </c>
      <c r="EN17" s="36">
        <f t="shared" si="64"/>
        <v>0</v>
      </c>
      <c r="EQ17" s="36" t="str">
        <f t="shared" si="172"/>
        <v/>
      </c>
      <c r="ER17" s="36">
        <f t="shared" si="65"/>
        <v>0</v>
      </c>
      <c r="ES17" s="36">
        <f t="shared" si="66"/>
        <v>0</v>
      </c>
      <c r="ET17" s="149" t="str">
        <f t="shared" si="67"/>
        <v/>
      </c>
      <c r="EV17" s="36" t="str">
        <f>D27</f>
        <v/>
      </c>
      <c r="EW17" s="36" t="str">
        <f>E27</f>
        <v/>
      </c>
      <c r="EX17" s="36" t="str">
        <f>H27</f>
        <v/>
      </c>
      <c r="EY17" s="36" t="str">
        <f>K27</f>
        <v/>
      </c>
      <c r="EZ17" s="36" t="str">
        <f t="shared" si="68"/>
        <v/>
      </c>
      <c r="FB17" s="36" t="str">
        <f t="shared" si="69"/>
        <v/>
      </c>
      <c r="FC17" s="36" t="str">
        <f t="shared" si="70"/>
        <v/>
      </c>
      <c r="FD17" s="36" t="str">
        <f t="shared" si="71"/>
        <v/>
      </c>
      <c r="FE17" s="36" t="str">
        <f t="shared" si="72"/>
        <v/>
      </c>
      <c r="FF17" s="36" t="str">
        <f t="shared" si="73"/>
        <v/>
      </c>
      <c r="FG17" s="36" t="str">
        <f t="shared" si="74"/>
        <v/>
      </c>
      <c r="FI17" s="36" t="str">
        <f t="shared" si="75"/>
        <v/>
      </c>
      <c r="FJ17" s="36" t="str">
        <f t="shared" si="76"/>
        <v/>
      </c>
      <c r="FL17" s="36" t="str">
        <f t="shared" si="77"/>
        <v/>
      </c>
      <c r="FM17" s="36" t="str">
        <f t="shared" si="78"/>
        <v/>
      </c>
      <c r="FN17" s="36" t="str">
        <f t="shared" si="79"/>
        <v/>
      </c>
      <c r="FO17" s="36" t="str">
        <f t="shared" si="80"/>
        <v/>
      </c>
      <c r="FP17" s="36" t="str">
        <f t="shared" si="81"/>
        <v/>
      </c>
      <c r="FQ17" s="36" t="str">
        <f t="shared" si="82"/>
        <v/>
      </c>
      <c r="FR17" s="173" t="str">
        <f t="shared" si="8"/>
        <v/>
      </c>
      <c r="FT17" s="36">
        <v>11</v>
      </c>
      <c r="FV17" s="36" t="str">
        <f t="shared" si="83"/>
        <v/>
      </c>
      <c r="FW17" s="36" t="str">
        <f t="shared" si="84"/>
        <v/>
      </c>
      <c r="FX17" s="36" t="str">
        <f t="shared" si="85"/>
        <v/>
      </c>
      <c r="FZ17" s="36" t="str">
        <f>FX12</f>
        <v/>
      </c>
      <c r="GA17" s="152"/>
      <c r="GB17" s="122">
        <v>11</v>
      </c>
      <c r="GC17" s="36" t="str">
        <f>IF(D27="","",D27)</f>
        <v/>
      </c>
      <c r="GD17" s="36" t="str">
        <f>IF(E27="","",E27)</f>
        <v/>
      </c>
      <c r="GE17" s="36" t="str">
        <f>IF(H27="","",H27)</f>
        <v/>
      </c>
      <c r="GF17" s="36" t="str">
        <f>IF(K27="","",K27)</f>
        <v/>
      </c>
      <c r="GG17" s="36" t="str">
        <f>IF(N27="","",N27)</f>
        <v/>
      </c>
      <c r="GH17" s="36" t="str">
        <f>IF(Q27="","",Q27)</f>
        <v/>
      </c>
      <c r="GI17" s="36" t="str">
        <f>IF(T27="","",T27)</f>
        <v/>
      </c>
      <c r="GJ17" s="36" t="str">
        <f>IF(W27="","",W27)</f>
        <v/>
      </c>
      <c r="GK17" s="36" t="str">
        <f>IF(C27="","",C27)</f>
        <v/>
      </c>
      <c r="GM17" s="36" t="str">
        <f>IF(F27="","",F27)</f>
        <v/>
      </c>
      <c r="GN17" s="36" t="str">
        <f>IF(I27="","",I27)</f>
        <v/>
      </c>
      <c r="GO17" s="36" t="str">
        <f>IF(L27="","",L27)</f>
        <v/>
      </c>
      <c r="GP17" s="36" t="str">
        <f>IF(O27="","",O27)</f>
        <v/>
      </c>
      <c r="GQ17" s="36" t="str">
        <f>IF(R27="","",R27)</f>
        <v/>
      </c>
      <c r="GR17" s="36" t="str">
        <f>IF(U27="","",U27)</f>
        <v/>
      </c>
      <c r="GS17" s="36" t="str">
        <f>IF(X27="","",X27)</f>
        <v/>
      </c>
      <c r="GU17" s="36" t="str">
        <f>IF(F28="","",F28)</f>
        <v/>
      </c>
      <c r="GV17" s="36" t="str">
        <f>IF(I28="","",I28)</f>
        <v/>
      </c>
      <c r="GW17" s="36" t="str">
        <f>IF(L28="","",L28)</f>
        <v/>
      </c>
      <c r="GX17" s="36" t="str">
        <f>IF(O28="","",O28)</f>
        <v/>
      </c>
      <c r="GY17" s="36" t="str">
        <f>IF(R28="","",R28)</f>
        <v/>
      </c>
      <c r="GZ17" s="36" t="str">
        <f>IF(U28="","",U28)</f>
        <v/>
      </c>
      <c r="HA17" s="36" t="str">
        <f>IF(X28="","",X28)</f>
        <v/>
      </c>
      <c r="HB17" s="152"/>
      <c r="HC17" s="122">
        <v>11</v>
      </c>
      <c r="HD17" s="36" t="str">
        <f>IF(SUM($BH27:$BK27)&gt;=2,$BH$2,"")</f>
        <v/>
      </c>
      <c r="HE17" s="36" t="str">
        <f t="shared" si="86"/>
        <v/>
      </c>
      <c r="HF17" s="36" t="str">
        <f t="shared" si="87"/>
        <v/>
      </c>
      <c r="HG17" s="36" t="str">
        <f t="shared" si="88"/>
        <v/>
      </c>
      <c r="HH17" s="36" t="str">
        <f t="shared" si="89"/>
        <v/>
      </c>
      <c r="HI17" s="36" t="str">
        <f t="shared" si="90"/>
        <v/>
      </c>
      <c r="HK17" s="36" t="str">
        <f t="shared" si="91"/>
        <v/>
      </c>
      <c r="HM17" s="36">
        <f t="shared" si="92"/>
        <v>999</v>
      </c>
      <c r="HN17" s="36">
        <f t="shared" si="93"/>
        <v>999</v>
      </c>
      <c r="HO17" s="36" t="str">
        <f t="shared" si="9"/>
        <v/>
      </c>
      <c r="HQ17" s="36">
        <f t="shared" si="94"/>
        <v>1</v>
      </c>
      <c r="HR17" s="36">
        <f t="shared" si="95"/>
        <v>0</v>
      </c>
      <c r="HS17" s="36" t="str">
        <f t="shared" si="173"/>
        <v/>
      </c>
      <c r="HT17" s="36">
        <f t="shared" si="96"/>
        <v>0</v>
      </c>
      <c r="HU17" s="149" t="str">
        <f t="shared" si="97"/>
        <v/>
      </c>
      <c r="HV17" s="138"/>
      <c r="HW17" s="36" t="str">
        <f t="shared" si="98"/>
        <v/>
      </c>
      <c r="HX17" s="36" t="str">
        <f t="shared" si="99"/>
        <v/>
      </c>
      <c r="HY17" s="36" t="str">
        <f t="shared" si="100"/>
        <v/>
      </c>
      <c r="HZ17" s="36" t="str">
        <f t="shared" si="101"/>
        <v/>
      </c>
      <c r="IA17" s="36" t="str">
        <f t="shared" si="102"/>
        <v/>
      </c>
      <c r="IC17" s="36" t="str">
        <f t="shared" si="174"/>
        <v/>
      </c>
      <c r="ID17" s="36" t="str">
        <f>(IF(HS17="","",(IF(HW17=HX17,$ID$6,IF(HW17=HY17,$ID$6,IF(HW17=HZ17,$ID$6,IF(HW17=IA17,$ID$6,"")))))))</f>
        <v/>
      </c>
      <c r="IH17" s="149" t="str">
        <f t="shared" si="107"/>
        <v/>
      </c>
      <c r="II17" s="138"/>
      <c r="IL17" s="36" t="str">
        <f t="shared" si="109"/>
        <v/>
      </c>
      <c r="IM17" s="36" t="str">
        <f>IF(HU17="",IF(HS17="","",HS17),HU17)</f>
        <v/>
      </c>
      <c r="IN17" s="36" t="str">
        <f t="shared" si="111"/>
        <v/>
      </c>
      <c r="IP17" s="36" t="str">
        <f>IN12</f>
        <v/>
      </c>
      <c r="IQ17" s="152"/>
      <c r="IR17" s="122">
        <v>11</v>
      </c>
      <c r="IS17" s="36" t="str">
        <f>IF(SUM($BH27:$BL27)&gt;1,$BH$2,"")</f>
        <v/>
      </c>
      <c r="IT17" s="36" t="str">
        <f t="shared" si="112"/>
        <v/>
      </c>
      <c r="IU17" s="36" t="str">
        <f t="shared" si="113"/>
        <v/>
      </c>
      <c r="IV17" s="36" t="str">
        <f t="shared" si="114"/>
        <v/>
      </c>
      <c r="IW17" s="36" t="str">
        <f t="shared" si="115"/>
        <v/>
      </c>
      <c r="IX17" s="36" t="str">
        <f t="shared" si="116"/>
        <v/>
      </c>
      <c r="IY17" s="36" t="str">
        <f t="shared" si="117"/>
        <v/>
      </c>
      <c r="IZ17" s="36" t="str">
        <f t="shared" si="118"/>
        <v/>
      </c>
      <c r="JB17" s="36">
        <f t="shared" si="119"/>
        <v>999</v>
      </c>
      <c r="JC17" s="36">
        <f t="shared" si="120"/>
        <v>999</v>
      </c>
      <c r="JD17" s="36" t="str">
        <f t="shared" si="10"/>
        <v/>
      </c>
      <c r="JF17" s="36">
        <f t="shared" si="121"/>
        <v>1</v>
      </c>
      <c r="JG17" s="36">
        <f t="shared" si="122"/>
        <v>0</v>
      </c>
      <c r="JH17" s="36" t="str">
        <f t="shared" si="175"/>
        <v/>
      </c>
      <c r="JI17" s="36">
        <f t="shared" si="123"/>
        <v>0</v>
      </c>
      <c r="JJ17" s="149" t="str">
        <f t="shared" si="124"/>
        <v/>
      </c>
      <c r="JM17" s="36" t="str">
        <f t="shared" si="125"/>
        <v/>
      </c>
      <c r="JN17" s="36" t="str">
        <f t="shared" si="126"/>
        <v/>
      </c>
      <c r="JO17" s="36" t="str">
        <f t="shared" si="127"/>
        <v/>
      </c>
      <c r="JP17" s="36" t="str">
        <f t="shared" si="128"/>
        <v/>
      </c>
      <c r="JQ17" s="36" t="str">
        <f t="shared" si="129"/>
        <v/>
      </c>
      <c r="JS17" s="36" t="str">
        <f t="shared" si="130"/>
        <v/>
      </c>
      <c r="JT17" s="36" t="str">
        <f t="shared" si="177"/>
        <v/>
      </c>
      <c r="JU17" s="36" t="str">
        <f>IF(JH17="","",(IF(JL17=$JH$7,$JK$7,IF(JL17=$JH$8,$JK$8,IF(JL17=$JH$9,$JK$9,IF(JL17=$JH$10,$JK$10,IF(JL17=$JH$11,$JK$11,IF(JL17=$JH$12,$JK$12,IF(JL17=$JH$13,$JK$13,IF(JL17=$JH$14,$JK$14,""))))))))))</f>
        <v/>
      </c>
      <c r="JV17" s="36" t="str">
        <f>IF(JH17="","",(IF(JL17="",0,(IF(JL17=$HS$7,1,IF(JL17=$HS$8,1,IF(JL17=$HS$9,1,IF(JL17=$HS$10,1,IF(JL17=$HS$11,1,IF(JL17=$HS$12,1,IF(JL17=$HS$13,1,IF(JL17=$HS$14,1,0)*0)))))))))))</f>
        <v/>
      </c>
      <c r="JX17" s="149" t="str">
        <f t="shared" si="132"/>
        <v/>
      </c>
      <c r="JY17" s="138"/>
      <c r="KB17" s="36" t="str">
        <f t="shared" si="134"/>
        <v/>
      </c>
      <c r="KC17" s="36" t="str">
        <f t="shared" si="135"/>
        <v/>
      </c>
      <c r="KD17" s="36" t="str">
        <f t="shared" si="136"/>
        <v/>
      </c>
      <c r="KF17" s="36" t="str">
        <f>KD12</f>
        <v/>
      </c>
      <c r="KG17" s="152"/>
      <c r="KH17" s="122">
        <v>11</v>
      </c>
      <c r="KI17" t="str">
        <f>IF(SUM($BH27:$BM27)&gt;1,$BH$2,"")</f>
        <v/>
      </c>
      <c r="KJ17" s="36" t="str">
        <f t="shared" si="137"/>
        <v/>
      </c>
      <c r="KK17" s="36" t="str">
        <f t="shared" si="138"/>
        <v/>
      </c>
      <c r="KL17" s="36" t="str">
        <f t="shared" si="139"/>
        <v/>
      </c>
      <c r="KM17" s="36" t="str">
        <f t="shared" si="140"/>
        <v/>
      </c>
      <c r="KN17" s="36" t="str">
        <f t="shared" si="141"/>
        <v/>
      </c>
      <c r="KO17" s="36" t="str">
        <f t="shared" si="142"/>
        <v/>
      </c>
      <c r="KP17" s="36" t="str">
        <f t="shared" si="143"/>
        <v/>
      </c>
      <c r="KQ17" s="36" t="str">
        <f t="shared" si="144"/>
        <v/>
      </c>
      <c r="KS17" s="36">
        <f t="shared" si="145"/>
        <v>999</v>
      </c>
      <c r="KT17" s="36">
        <f t="shared" si="146"/>
        <v>999</v>
      </c>
      <c r="KU17" s="36" t="str">
        <f t="shared" si="12"/>
        <v/>
      </c>
      <c r="KW17" s="36">
        <f t="shared" si="147"/>
        <v>1</v>
      </c>
      <c r="KX17" s="36">
        <f t="shared" si="148"/>
        <v>0</v>
      </c>
      <c r="KY17" s="36" t="str">
        <f t="shared" si="178"/>
        <v/>
      </c>
      <c r="KZ17" s="36">
        <f t="shared" si="149"/>
        <v>0</v>
      </c>
      <c r="LA17" s="149" t="str">
        <f t="shared" si="150"/>
        <v/>
      </c>
      <c r="LC17" s="36" t="str">
        <f t="shared" si="151"/>
        <v/>
      </c>
      <c r="LD17" s="36" t="str">
        <f t="shared" si="152"/>
        <v/>
      </c>
      <c r="LE17" s="36" t="str">
        <f t="shared" si="153"/>
        <v/>
      </c>
      <c r="LF17" s="36" t="str">
        <f t="shared" si="154"/>
        <v/>
      </c>
      <c r="LG17" s="36" t="str">
        <f t="shared" si="155"/>
        <v/>
      </c>
      <c r="LH17" s="36" t="str">
        <f t="shared" si="156"/>
        <v/>
      </c>
      <c r="LI17" s="36" t="str">
        <f t="shared" si="157"/>
        <v/>
      </c>
      <c r="LJ17" s="36" t="str">
        <f t="shared" si="158"/>
        <v/>
      </c>
      <c r="LK17" s="36" t="str">
        <f t="shared" si="159"/>
        <v/>
      </c>
      <c r="LL17" s="36" t="str">
        <f t="shared" si="160"/>
        <v/>
      </c>
      <c r="LM17" s="36" t="str">
        <f t="shared" si="161"/>
        <v/>
      </c>
      <c r="LN17" s="36" t="str">
        <f t="shared" si="162"/>
        <v/>
      </c>
      <c r="LO17" s="149" t="str">
        <f t="shared" si="163"/>
        <v/>
      </c>
      <c r="LP17" s="138"/>
      <c r="LQ17" s="36" t="str">
        <f t="shared" si="164"/>
        <v/>
      </c>
      <c r="LS17" s="36" t="str">
        <f t="shared" si="165"/>
        <v/>
      </c>
      <c r="LT17" s="36" t="str">
        <f t="shared" si="166"/>
        <v/>
      </c>
      <c r="LU17" s="36" t="str">
        <f t="shared" si="167"/>
        <v/>
      </c>
      <c r="LW17" s="36" t="str">
        <f>LU12</f>
        <v/>
      </c>
      <c r="LX17" s="152"/>
    </row>
    <row r="18" spans="1:336" ht="14.25" customHeight="1" thickBot="1" x14ac:dyDescent="0.3">
      <c r="A18" s="365"/>
      <c r="B18" s="360"/>
      <c r="C18" s="363"/>
      <c r="D18" s="362"/>
      <c r="E18" s="346"/>
      <c r="F18" s="29"/>
      <c r="G18" s="30"/>
      <c r="H18" s="334"/>
      <c r="I18" s="29"/>
      <c r="J18" s="30"/>
      <c r="K18" s="334"/>
      <c r="L18" s="29"/>
      <c r="M18" s="30"/>
      <c r="N18" s="334"/>
      <c r="O18" s="29"/>
      <c r="P18" s="30"/>
      <c r="Q18" s="334"/>
      <c r="R18" s="29"/>
      <c r="S18" s="30"/>
      <c r="T18" s="334"/>
      <c r="U18" s="29"/>
      <c r="V18" s="30"/>
      <c r="W18" s="337"/>
      <c r="X18" s="29"/>
      <c r="Y18" s="30"/>
      <c r="Z18" s="338"/>
      <c r="AA18" s="335"/>
      <c r="AB18" s="336"/>
      <c r="AC18" s="357"/>
      <c r="AD18" s="328"/>
      <c r="AE18" s="328"/>
      <c r="AG18" s="252">
        <v>12</v>
      </c>
      <c r="AH18" s="138" t="str">
        <f>IF($K$5="","",(IF($H$5="x",CU18,"")))</f>
        <v/>
      </c>
      <c r="AI18" s="177"/>
      <c r="AJ18" s="36" t="str">
        <f>IF($K$5="","",(IF(EB18="",(IF(AH18="","",(IF(CX18=$BQ$2,$BQ$2,IF((AI18)="","",AI18))))),EB18)))</f>
        <v/>
      </c>
      <c r="AK18" s="149" t="str">
        <f t="shared" si="15"/>
        <v/>
      </c>
      <c r="AM18" s="138" t="str">
        <f t="shared" si="16"/>
        <v/>
      </c>
      <c r="AN18" s="178"/>
      <c r="AO18" s="36" t="str">
        <f t="shared" si="3"/>
        <v/>
      </c>
      <c r="AP18" s="149" t="str">
        <f t="shared" si="17"/>
        <v/>
      </c>
      <c r="AR18" s="138" t="str">
        <f t="shared" si="18"/>
        <v/>
      </c>
      <c r="AS18" s="178"/>
      <c r="AT18" s="36" t="str">
        <f>IF($Q$5="","",(IL18))</f>
        <v/>
      </c>
      <c r="AU18" s="149"/>
      <c r="AW18" s="138"/>
      <c r="AX18" s="178"/>
      <c r="AY18" s="36" t="str">
        <f>IF($T$5="","",(KB18))</f>
        <v/>
      </c>
      <c r="AZ18" s="149" t="str">
        <f t="shared" si="21"/>
        <v/>
      </c>
      <c r="BB18" s="138"/>
      <c r="BC18" s="178"/>
      <c r="BD18" s="36" t="str">
        <f>IF($W$5="","",(LS18))</f>
        <v/>
      </c>
      <c r="BE18" s="149" t="str">
        <f t="shared" si="24"/>
        <v/>
      </c>
      <c r="BH18" s="36" t="str">
        <f>IF(E18=$BQ$2,"",(IF(A18="","",(IF(F18="","",(IF(F18&lt;2,1,0)))))))</f>
        <v/>
      </c>
      <c r="BI18" s="36" t="str">
        <f>IF(H18=$BQ$2,"",(IF(A18="","",(IF(I18="","",(IF(I18&lt;2,1,0)))))))</f>
        <v/>
      </c>
      <c r="BJ18" s="36" t="str">
        <f>IF(K18=$BQ$2,"",(IF(A18="","",(IF(L18="","",(IF(L18&lt;2,1,0)))))))</f>
        <v/>
      </c>
      <c r="BK18" s="36" t="str">
        <f>IF(W18=$BQ$2,"",(IF(A18="","",(IF(X18="","",(IF(X18&lt;2,1,0)))))))</f>
        <v/>
      </c>
      <c r="BP18" s="36" t="str">
        <f>IF(BH18="","",(SUM(BH18:BK18)))</f>
        <v/>
      </c>
      <c r="BR18" s="36" t="str">
        <f>BP29</f>
        <v/>
      </c>
      <c r="BS18" s="36" t="str">
        <f>D29</f>
        <v/>
      </c>
      <c r="BT18" s="36" t="str">
        <f>IF(SUM(BH29,BI29)=2,$BH$2,"")</f>
        <v/>
      </c>
      <c r="BV18" s="36">
        <f t="shared" si="5"/>
        <v>999</v>
      </c>
      <c r="BW18" s="36">
        <f t="shared" si="25"/>
        <v>999</v>
      </c>
      <c r="BX18" s="36">
        <f t="shared" si="168"/>
        <v>12</v>
      </c>
      <c r="BY18" s="36">
        <f t="shared" si="26"/>
        <v>999</v>
      </c>
      <c r="CB18" s="122">
        <v>12</v>
      </c>
      <c r="CC18" s="36">
        <f>IF(D29="",0,D29)</f>
        <v>0</v>
      </c>
      <c r="CD18" s="36">
        <f t="shared" si="27"/>
        <v>0</v>
      </c>
      <c r="CE18" s="36">
        <f t="shared" si="28"/>
        <v>0</v>
      </c>
      <c r="CH18" s="36">
        <f t="shared" si="169"/>
        <v>0</v>
      </c>
      <c r="CI18" s="36">
        <f t="shared" si="29"/>
        <v>0</v>
      </c>
      <c r="CJ18" s="36">
        <f t="shared" si="30"/>
        <v>0</v>
      </c>
      <c r="CM18" s="36">
        <f t="shared" si="170"/>
        <v>0</v>
      </c>
      <c r="CO18" s="36">
        <f t="shared" si="31"/>
        <v>0</v>
      </c>
      <c r="CP18" s="36" t="str">
        <f t="shared" si="32"/>
        <v/>
      </c>
      <c r="CQ18" s="36">
        <f t="shared" si="33"/>
        <v>999</v>
      </c>
      <c r="CR18" s="36">
        <f t="shared" si="34"/>
        <v>12</v>
      </c>
      <c r="CS18" s="36">
        <f t="shared" si="35"/>
        <v>12</v>
      </c>
      <c r="CT18" s="36">
        <f t="shared" si="36"/>
        <v>999</v>
      </c>
      <c r="CU18" s="36" t="str">
        <f t="shared" si="37"/>
        <v/>
      </c>
      <c r="CV18" s="36">
        <f t="shared" si="38"/>
        <v>0</v>
      </c>
      <c r="CW18" s="36">
        <f t="shared" si="39"/>
        <v>0</v>
      </c>
      <c r="CX18" s="149" t="str">
        <f t="shared" si="171"/>
        <v/>
      </c>
      <c r="DA18" s="36" t="str">
        <f>D29</f>
        <v/>
      </c>
      <c r="DB18" s="36" t="str">
        <f>E29</f>
        <v/>
      </c>
      <c r="DC18" s="36" t="str">
        <f>H29</f>
        <v/>
      </c>
      <c r="DD18" s="36" t="str">
        <f t="shared" si="40"/>
        <v/>
      </c>
      <c r="DF18" s="36" t="str">
        <f t="shared" si="41"/>
        <v/>
      </c>
      <c r="DG18" s="36" t="str">
        <f t="shared" si="42"/>
        <v/>
      </c>
      <c r="DH18" s="36" t="str">
        <f t="shared" si="43"/>
        <v/>
      </c>
      <c r="DI18" s="36" t="str">
        <f t="shared" si="6"/>
        <v/>
      </c>
      <c r="DJ18" s="36" t="str">
        <f t="shared" si="44"/>
        <v/>
      </c>
      <c r="DL18" s="36" t="str">
        <f t="shared" si="7"/>
        <v/>
      </c>
      <c r="DM18" s="149" t="str">
        <f t="shared" si="45"/>
        <v/>
      </c>
      <c r="DN18" s="36" t="str">
        <f t="shared" si="46"/>
        <v/>
      </c>
      <c r="DO18" s="36" t="str">
        <f t="shared" si="47"/>
        <v/>
      </c>
      <c r="DP18" s="36" t="str">
        <f t="shared" si="48"/>
        <v/>
      </c>
      <c r="DR18" s="36" t="str">
        <f t="shared" si="49"/>
        <v/>
      </c>
      <c r="DS18" s="36" t="str">
        <f t="shared" si="50"/>
        <v/>
      </c>
      <c r="DT18" s="36" t="str">
        <f t="shared" si="51"/>
        <v/>
      </c>
      <c r="DX18" s="152" t="str">
        <f t="shared" si="52"/>
        <v/>
      </c>
      <c r="DY18" s="36" t="str">
        <f t="shared" si="53"/>
        <v/>
      </c>
      <c r="DZ18" s="36" t="str">
        <f t="shared" si="54"/>
        <v/>
      </c>
      <c r="EA18" s="36" t="str">
        <f t="shared" si="55"/>
        <v/>
      </c>
      <c r="EB18" s="173" t="str">
        <f t="shared" si="56"/>
        <v/>
      </c>
      <c r="ED18" s="122">
        <v>12</v>
      </c>
      <c r="EE18" s="36" t="str">
        <f t="shared" si="57"/>
        <v/>
      </c>
      <c r="EF18" s="36">
        <f t="shared" si="58"/>
        <v>0</v>
      </c>
      <c r="EG18" s="36" t="str">
        <f>IF(SUM($BH29:$BJ29)=2,$BH$2,"")</f>
        <v/>
      </c>
      <c r="EH18" s="36" t="str">
        <f t="shared" si="59"/>
        <v/>
      </c>
      <c r="EJ18" s="36">
        <f t="shared" si="60"/>
        <v>999</v>
      </c>
      <c r="EK18" s="36">
        <f t="shared" si="61"/>
        <v>999</v>
      </c>
      <c r="EL18" s="36" t="str">
        <f t="shared" si="62"/>
        <v/>
      </c>
      <c r="EM18" s="36">
        <f t="shared" si="63"/>
        <v>1</v>
      </c>
      <c r="EN18" s="36">
        <f t="shared" si="64"/>
        <v>0</v>
      </c>
      <c r="EQ18" s="36" t="str">
        <f t="shared" si="172"/>
        <v/>
      </c>
      <c r="ER18" s="36">
        <f t="shared" si="65"/>
        <v>0</v>
      </c>
      <c r="ES18" s="36">
        <f t="shared" si="66"/>
        <v>0</v>
      </c>
      <c r="ET18" s="149" t="str">
        <f t="shared" si="67"/>
        <v/>
      </c>
      <c r="EV18" s="36" t="str">
        <f>D29</f>
        <v/>
      </c>
      <c r="EW18" s="36" t="str">
        <f>E29</f>
        <v/>
      </c>
      <c r="EX18" s="36" t="str">
        <f>H29</f>
        <v/>
      </c>
      <c r="EY18" s="36" t="str">
        <f>K29</f>
        <v/>
      </c>
      <c r="EZ18" s="36" t="str">
        <f t="shared" si="68"/>
        <v/>
      </c>
      <c r="FB18" s="36" t="str">
        <f t="shared" si="69"/>
        <v/>
      </c>
      <c r="FC18" s="36" t="str">
        <f t="shared" si="70"/>
        <v/>
      </c>
      <c r="FD18" s="36" t="str">
        <f>IF(FB18="","",(INDEX($EW$7:$EW$21,FB18)))</f>
        <v/>
      </c>
      <c r="FE18" s="36" t="str">
        <f>IF(FB18="","",(INDEX($EX$7:$EX$21,FB18)))</f>
        <v/>
      </c>
      <c r="FF18" s="36" t="str">
        <f>IF(FB18="","",(INDEX($EY$7:$EY$21,FB18)))</f>
        <v/>
      </c>
      <c r="FG18" s="36" t="str">
        <f>IF(FB18="","",(INDEX($EZ$7:$EZ$21,FB18)))</f>
        <v/>
      </c>
      <c r="FI18" s="36" t="str">
        <f t="shared" si="75"/>
        <v/>
      </c>
      <c r="FJ18" s="36" t="str">
        <f t="shared" si="76"/>
        <v/>
      </c>
      <c r="FL18" s="36" t="str">
        <f t="shared" si="77"/>
        <v/>
      </c>
      <c r="FM18" s="36" t="str">
        <f t="shared" si="78"/>
        <v/>
      </c>
      <c r="FN18" s="36" t="str">
        <f t="shared" si="79"/>
        <v/>
      </c>
      <c r="FO18" s="36" t="str">
        <f t="shared" si="80"/>
        <v/>
      </c>
      <c r="FP18" s="36" t="str">
        <f t="shared" si="81"/>
        <v/>
      </c>
      <c r="FQ18" s="36" t="str">
        <f t="shared" si="82"/>
        <v/>
      </c>
      <c r="FR18" s="173" t="str">
        <f t="shared" si="8"/>
        <v/>
      </c>
      <c r="FT18" s="36">
        <v>12</v>
      </c>
      <c r="FV18" s="36" t="str">
        <f t="shared" si="83"/>
        <v/>
      </c>
      <c r="FW18" s="36" t="str">
        <f t="shared" si="84"/>
        <v/>
      </c>
      <c r="FX18" s="36" t="str">
        <f t="shared" si="85"/>
        <v/>
      </c>
      <c r="GA18" s="152"/>
      <c r="GB18" s="122">
        <v>12</v>
      </c>
      <c r="GC18" s="36" t="str">
        <f>IF(D29="","",D29)</f>
        <v/>
      </c>
      <c r="GD18" s="36" t="str">
        <f>IF(E29="","",E29)</f>
        <v/>
      </c>
      <c r="GE18" s="36" t="str">
        <f>IF(H29="","",H29)</f>
        <v/>
      </c>
      <c r="GF18" s="36" t="str">
        <f>IF(K29="","",K29)</f>
        <v/>
      </c>
      <c r="GG18" s="36" t="str">
        <f>IF(N29="","",N29)</f>
        <v/>
      </c>
      <c r="GH18" s="36" t="str">
        <f>IF(Q29="","",Q29)</f>
        <v/>
      </c>
      <c r="GI18" s="36" t="str">
        <f>IF(T29="","",T29)</f>
        <v/>
      </c>
      <c r="GJ18" s="36" t="str">
        <f>IF(W29="","",W29)</f>
        <v/>
      </c>
      <c r="GK18" s="36" t="str">
        <f>IF(C29="","",C29)</f>
        <v/>
      </c>
      <c r="GM18" s="36" t="str">
        <f>IF(F29="","",F29)</f>
        <v/>
      </c>
      <c r="GN18" s="36" t="str">
        <f>IF(I29="","",I29)</f>
        <v/>
      </c>
      <c r="GO18" s="36" t="str">
        <f>IF(L29="","",L29)</f>
        <v/>
      </c>
      <c r="GP18" s="36" t="str">
        <f>IF(O29="","",O29)</f>
        <v/>
      </c>
      <c r="GQ18" s="36" t="str">
        <f>IF(R29="","",R29)</f>
        <v/>
      </c>
      <c r="GR18" s="36" t="str">
        <f>IF(U29="","",U29)</f>
        <v/>
      </c>
      <c r="GS18" s="36" t="str">
        <f>IF(X29="","",X29)</f>
        <v/>
      </c>
      <c r="GU18" s="36" t="str">
        <f>IF(F30="","",F30)</f>
        <v/>
      </c>
      <c r="GV18" s="36" t="str">
        <f>IF(I30="","",I30)</f>
        <v/>
      </c>
      <c r="GW18" s="36" t="str">
        <f>IF(L30="","",L30)</f>
        <v/>
      </c>
      <c r="GX18" s="36" t="str">
        <f>IF(O30="","",O30)</f>
        <v/>
      </c>
      <c r="GY18" s="36" t="str">
        <f>IF(R30="","",R30)</f>
        <v/>
      </c>
      <c r="GZ18" s="36" t="str">
        <f>IF(U30="","",U30)</f>
        <v/>
      </c>
      <c r="HA18" s="36" t="str">
        <f>IF(X30="","",X30)</f>
        <v/>
      </c>
      <c r="HB18" s="152"/>
      <c r="HC18" s="122">
        <v>12</v>
      </c>
      <c r="HD18" s="36" t="str">
        <f>IF(SUM($BH29:$BK29)&gt;=2,$BH$2,"")</f>
        <v/>
      </c>
      <c r="HE18" s="36" t="str">
        <f t="shared" si="86"/>
        <v/>
      </c>
      <c r="HF18" s="36" t="str">
        <f t="shared" si="87"/>
        <v/>
      </c>
      <c r="HG18" s="36" t="str">
        <f t="shared" si="88"/>
        <v/>
      </c>
      <c r="HH18" s="36" t="str">
        <f t="shared" si="89"/>
        <v/>
      </c>
      <c r="HI18" s="36" t="str">
        <f t="shared" si="90"/>
        <v/>
      </c>
      <c r="HK18" s="36" t="str">
        <f t="shared" si="91"/>
        <v/>
      </c>
      <c r="HM18" s="36">
        <f t="shared" si="92"/>
        <v>999</v>
      </c>
      <c r="HN18" s="36">
        <f t="shared" si="93"/>
        <v>999</v>
      </c>
      <c r="HO18" s="36" t="str">
        <f t="shared" si="9"/>
        <v/>
      </c>
      <c r="HQ18" s="36">
        <f t="shared" si="94"/>
        <v>1</v>
      </c>
      <c r="HR18" s="36">
        <f t="shared" si="95"/>
        <v>0</v>
      </c>
      <c r="HS18" s="36" t="str">
        <f t="shared" si="173"/>
        <v/>
      </c>
      <c r="HT18" s="36">
        <f t="shared" si="96"/>
        <v>0</v>
      </c>
      <c r="HU18" s="149" t="str">
        <f t="shared" si="97"/>
        <v/>
      </c>
      <c r="HV18" s="138"/>
      <c r="HW18" s="36" t="str">
        <f t="shared" si="98"/>
        <v/>
      </c>
      <c r="HX18" s="36" t="str">
        <f t="shared" si="99"/>
        <v/>
      </c>
      <c r="HY18" s="36" t="str">
        <f t="shared" si="100"/>
        <v/>
      </c>
      <c r="HZ18" s="36" t="str">
        <f t="shared" si="101"/>
        <v/>
      </c>
      <c r="IA18" s="36" t="str">
        <f t="shared" si="102"/>
        <v/>
      </c>
      <c r="IC18" s="36" t="str">
        <f t="shared" si="174"/>
        <v/>
      </c>
      <c r="ID18" s="36" t="str">
        <f>IF(HS18="","",(IF(HW18=HX18,$ID$6,IF(HW18=HY18,$ID$6,IF(HW18=HZ18,$ID$6,IF(HW18=IA18,$ID$6,""))))))</f>
        <v/>
      </c>
      <c r="IH18" s="149"/>
      <c r="II18" s="138"/>
      <c r="IL18" s="36" t="str">
        <f t="shared" si="109"/>
        <v/>
      </c>
      <c r="IM18" s="36" t="str">
        <f>IF(HU18="",IF(HS18="","",HS18),HU18)</f>
        <v/>
      </c>
      <c r="IN18" s="36" t="str">
        <f t="shared" si="111"/>
        <v/>
      </c>
      <c r="IQ18" s="152"/>
      <c r="IR18" s="122">
        <v>12</v>
      </c>
      <c r="IS18" s="36" t="str">
        <f>IF(SUM($BH29:$BL29)&gt;1,$BH$2,"")</f>
        <v/>
      </c>
      <c r="IT18" s="36" t="str">
        <f t="shared" si="112"/>
        <v/>
      </c>
      <c r="IU18" s="36" t="str">
        <f t="shared" si="113"/>
        <v/>
      </c>
      <c r="IV18" s="36" t="str">
        <f t="shared" si="114"/>
        <v/>
      </c>
      <c r="IW18" s="36" t="str">
        <f t="shared" si="115"/>
        <v/>
      </c>
      <c r="IX18" s="36" t="str">
        <f t="shared" si="116"/>
        <v/>
      </c>
      <c r="IY18" s="36" t="str">
        <f t="shared" si="117"/>
        <v/>
      </c>
      <c r="IZ18" s="36" t="str">
        <f t="shared" si="118"/>
        <v/>
      </c>
      <c r="JB18" s="36">
        <f t="shared" si="119"/>
        <v>999</v>
      </c>
      <c r="JC18" s="36">
        <f t="shared" si="120"/>
        <v>999</v>
      </c>
      <c r="JD18" s="36" t="str">
        <f t="shared" si="10"/>
        <v/>
      </c>
      <c r="JF18" s="36">
        <f t="shared" si="121"/>
        <v>1</v>
      </c>
      <c r="JG18" s="36">
        <f t="shared" si="122"/>
        <v>0</v>
      </c>
      <c r="JH18" s="36" t="str">
        <f t="shared" si="175"/>
        <v/>
      </c>
      <c r="JI18" s="36">
        <f t="shared" si="123"/>
        <v>0</v>
      </c>
      <c r="JJ18" s="149" t="str">
        <f t="shared" si="124"/>
        <v/>
      </c>
      <c r="JM18" s="36" t="str">
        <f t="shared" si="125"/>
        <v/>
      </c>
      <c r="JN18" s="36" t="str">
        <f t="shared" si="126"/>
        <v/>
      </c>
      <c r="JO18" s="36" t="str">
        <f t="shared" si="127"/>
        <v/>
      </c>
      <c r="JP18" s="36" t="str">
        <f t="shared" si="128"/>
        <v/>
      </c>
      <c r="JQ18" s="36" t="str">
        <f t="shared" si="129"/>
        <v/>
      </c>
      <c r="JS18" s="36" t="str">
        <f t="shared" si="130"/>
        <v/>
      </c>
      <c r="JX18" s="149" t="str">
        <f t="shared" si="132"/>
        <v/>
      </c>
      <c r="JY18" s="138"/>
      <c r="KB18" s="36" t="str">
        <f t="shared" si="134"/>
        <v/>
      </c>
      <c r="KC18" s="36" t="str">
        <f t="shared" si="135"/>
        <v/>
      </c>
      <c r="KD18" s="36" t="str">
        <f t="shared" si="136"/>
        <v/>
      </c>
      <c r="KG18" s="152"/>
      <c r="KH18" s="122">
        <v>12</v>
      </c>
      <c r="KI18" t="str">
        <f>IF(SUM($BH29:$BM29)&gt;1,$BH$2,"")</f>
        <v/>
      </c>
      <c r="KJ18" s="36" t="str">
        <f t="shared" si="137"/>
        <v/>
      </c>
      <c r="KK18" s="36" t="str">
        <f t="shared" si="138"/>
        <v/>
      </c>
      <c r="KL18" s="36" t="str">
        <f t="shared" si="139"/>
        <v/>
      </c>
      <c r="KM18" s="36" t="str">
        <f t="shared" si="140"/>
        <v/>
      </c>
      <c r="KN18" s="36" t="str">
        <f t="shared" si="141"/>
        <v/>
      </c>
      <c r="KO18" s="36" t="str">
        <f t="shared" si="142"/>
        <v/>
      </c>
      <c r="KP18" s="36" t="str">
        <f t="shared" si="143"/>
        <v/>
      </c>
      <c r="KQ18" s="36" t="str">
        <f t="shared" si="144"/>
        <v/>
      </c>
      <c r="KS18" s="36">
        <f t="shared" si="145"/>
        <v>999</v>
      </c>
      <c r="KT18" s="36">
        <f t="shared" si="146"/>
        <v>999</v>
      </c>
      <c r="KU18" s="36" t="str">
        <f t="shared" si="12"/>
        <v/>
      </c>
      <c r="KW18" s="36">
        <f t="shared" si="147"/>
        <v>1</v>
      </c>
      <c r="KX18" s="36">
        <f t="shared" si="148"/>
        <v>0</v>
      </c>
      <c r="KY18" s="36" t="str">
        <f t="shared" si="178"/>
        <v/>
      </c>
      <c r="KZ18" s="36">
        <f t="shared" si="149"/>
        <v>0</v>
      </c>
      <c r="LA18" s="149" t="str">
        <f t="shared" si="150"/>
        <v/>
      </c>
      <c r="LC18" s="36" t="str">
        <f t="shared" si="151"/>
        <v/>
      </c>
      <c r="LD18" s="36" t="str">
        <f t="shared" si="152"/>
        <v/>
      </c>
      <c r="LE18" s="36" t="str">
        <f t="shared" si="153"/>
        <v/>
      </c>
      <c r="LF18" s="36" t="str">
        <f t="shared" si="154"/>
        <v/>
      </c>
      <c r="LG18" s="36" t="str">
        <f t="shared" si="155"/>
        <v/>
      </c>
      <c r="LH18" s="36" t="str">
        <f t="shared" si="156"/>
        <v/>
      </c>
      <c r="LI18" s="36" t="str">
        <f t="shared" si="157"/>
        <v/>
      </c>
      <c r="LJ18" s="36" t="str">
        <f t="shared" si="158"/>
        <v/>
      </c>
      <c r="LK18" s="36" t="str">
        <f t="shared" si="159"/>
        <v/>
      </c>
      <c r="LL18" s="36" t="str">
        <f t="shared" si="160"/>
        <v/>
      </c>
      <c r="LM18" s="36" t="str">
        <f t="shared" si="161"/>
        <v/>
      </c>
      <c r="LN18" s="36" t="str">
        <f t="shared" si="162"/>
        <v/>
      </c>
      <c r="LO18" s="149" t="str">
        <f t="shared" si="163"/>
        <v/>
      </c>
      <c r="LP18" s="138"/>
      <c r="LQ18" s="36" t="str">
        <f t="shared" si="164"/>
        <v/>
      </c>
      <c r="LS18" s="36" t="str">
        <f t="shared" si="165"/>
        <v/>
      </c>
      <c r="LT18" s="36" t="str">
        <f t="shared" si="166"/>
        <v/>
      </c>
      <c r="LU18" s="36" t="str">
        <f t="shared" si="167"/>
        <v/>
      </c>
      <c r="LX18" s="152"/>
    </row>
    <row r="19" spans="1:336" ht="14.25" customHeight="1" thickBot="1" x14ac:dyDescent="0.3">
      <c r="A19" s="364" t="str">
        <f>'Vážní listina'!HQ19</f>
        <v/>
      </c>
      <c r="B19" s="359" t="str">
        <f>'Vážní listina'!HR19</f>
        <v/>
      </c>
      <c r="C19" s="363" t="str">
        <f>IF(BP19="","",(IF(BP19&gt;1,$BH$2,"")))</f>
        <v/>
      </c>
      <c r="D19" s="361" t="str">
        <f>'Vážní listina'!HK19</f>
        <v/>
      </c>
      <c r="E19" s="343" t="str">
        <f>'Vážní listina'!HL19</f>
        <v/>
      </c>
      <c r="F19" s="26"/>
      <c r="G19" s="33"/>
      <c r="H19" s="343" t="str">
        <f>IF(H5="","",'Vážní listina'!HM19)</f>
        <v/>
      </c>
      <c r="I19" s="26"/>
      <c r="J19" s="33"/>
      <c r="K19" s="334" t="str">
        <f>IF(K5="","",DV19)</f>
        <v/>
      </c>
      <c r="L19" s="26"/>
      <c r="M19" s="33"/>
      <c r="N19" s="334" t="str">
        <f>IF(N5="","",FZ19)</f>
        <v/>
      </c>
      <c r="O19" s="26"/>
      <c r="P19" s="33"/>
      <c r="Q19" s="334" t="str">
        <f>IF(Q5="","",IP19)</f>
        <v/>
      </c>
      <c r="R19" s="26"/>
      <c r="S19" s="33"/>
      <c r="T19" s="334" t="str">
        <f>IF(T5="","",KF19)</f>
        <v/>
      </c>
      <c r="U19" s="26"/>
      <c r="V19" s="33"/>
      <c r="W19" s="337" t="str">
        <f>IF(W5="","",LW19)</f>
        <v/>
      </c>
      <c r="X19" s="26"/>
      <c r="Y19" s="33"/>
      <c r="Z19" s="338" t="str">
        <f>IF(A19="","",(F19+I19+L19+O19+R19+U19+X19))</f>
        <v/>
      </c>
      <c r="AA19" s="335" t="str">
        <f>IF(A19="","",(F20+I20+L20+O20+R20+U20+X20))</f>
        <v/>
      </c>
      <c r="AB19" s="336" t="str">
        <f>IF(A19="","",(G19+J19+M19+P19+S19+V19+Y19))</f>
        <v/>
      </c>
      <c r="AC19" s="356" t="str">
        <f>HF92</f>
        <v/>
      </c>
      <c r="AD19" s="329"/>
      <c r="AE19" s="328" t="str">
        <f>IF(D19="","",(IF('Tabulka finále'!$BK$47=1,(IF('Tabulka finále'!$K$56="","",(IF($AC$5="","",(IF($H$5="","",(FW130))))))),"")))</f>
        <v/>
      </c>
      <c r="AG19" s="252">
        <v>13</v>
      </c>
      <c r="AH19" s="138" t="str">
        <f t="shared" si="13"/>
        <v/>
      </c>
      <c r="AI19" s="177"/>
      <c r="AJ19" s="36" t="str">
        <f>IF($K$5="","",(IF(EB19="",(IF(AH19="","",(IF(CX19=$BQ$2,$BQ$2,IF((AI19)="","",AI19))))),EB19)))</f>
        <v/>
      </c>
      <c r="AK19" s="149" t="str">
        <f>IF($K$5="","",(IF($H$5="","",(DM19))))</f>
        <v/>
      </c>
      <c r="AM19" s="138" t="str">
        <f t="shared" si="16"/>
        <v/>
      </c>
      <c r="AO19" s="36" t="str">
        <f t="shared" si="3"/>
        <v/>
      </c>
      <c r="AP19" s="149" t="str">
        <f>IF($N$5="","",(FM19))</f>
        <v/>
      </c>
      <c r="AR19" s="138"/>
      <c r="AU19" s="149"/>
      <c r="AW19" s="138"/>
      <c r="AZ19" s="149"/>
      <c r="BB19" s="138"/>
      <c r="BE19" s="149"/>
      <c r="BG19" s="36">
        <f>IF(A19="",0,1)</f>
        <v>0</v>
      </c>
      <c r="BH19" s="36" t="str">
        <f>(IF(E19="","",(IF(E19=$BQ$2,0,(IF(A19="","",(IF(F19="","",(IF(F19&lt;2,1,0))))))))))</f>
        <v/>
      </c>
      <c r="BI19" s="36" t="str">
        <f>IF(H19=$BQ$2,0,(IF(A19="","",(IF(I19="","",(IF(I19&lt;2,1,0)))))))</f>
        <v/>
      </c>
      <c r="BJ19" s="36" t="str">
        <f>IF(L19="","",(IF(L19&lt;2,1,0)))</f>
        <v/>
      </c>
      <c r="BK19" s="36" t="str">
        <f>IF(O19="","",(IF(O19&lt;2,1,0)))</f>
        <v/>
      </c>
      <c r="BL19" s="36" t="str">
        <f>IF(R19="","",(IF(R19&lt;2,1,0)))</f>
        <v/>
      </c>
      <c r="BM19" s="36" t="str">
        <f>IF(U19="","",(IF(U19&lt;2,1,0)))</f>
        <v/>
      </c>
      <c r="BN19" s="36" t="str">
        <f>IF(X19="","",(IF(X19&lt;2,1,0)))</f>
        <v/>
      </c>
      <c r="BP19" s="36" t="str">
        <f>IF(BG19=0,"",(SUM(BH19:BN19)))</f>
        <v/>
      </c>
      <c r="BR19" s="36" t="str">
        <f>BP31</f>
        <v/>
      </c>
      <c r="BS19" s="36" t="str">
        <f>D31</f>
        <v/>
      </c>
      <c r="BT19" s="36" t="str">
        <f>IF(SUM(BH31,BI31)=2,$BH$2,"")</f>
        <v/>
      </c>
      <c r="BV19" s="36">
        <f t="shared" si="5"/>
        <v>999</v>
      </c>
      <c r="BW19" s="36">
        <f t="shared" si="25"/>
        <v>999</v>
      </c>
      <c r="BX19" s="36">
        <f t="shared" si="168"/>
        <v>13</v>
      </c>
      <c r="BY19" s="36">
        <f t="shared" si="26"/>
        <v>999</v>
      </c>
      <c r="CB19" s="122">
        <v>13</v>
      </c>
      <c r="CC19" s="36">
        <f>IF(D31="",0,D31)</f>
        <v>0</v>
      </c>
      <c r="CD19" s="36">
        <f t="shared" si="27"/>
        <v>0</v>
      </c>
      <c r="CE19" s="36">
        <f t="shared" si="28"/>
        <v>0</v>
      </c>
      <c r="CH19" s="36">
        <f t="shared" si="169"/>
        <v>0</v>
      </c>
      <c r="CI19" s="36">
        <f t="shared" si="29"/>
        <v>0</v>
      </c>
      <c r="CJ19" s="36">
        <f t="shared" si="30"/>
        <v>0</v>
      </c>
      <c r="CM19" s="36">
        <f t="shared" si="170"/>
        <v>0</v>
      </c>
      <c r="CO19" s="36">
        <f t="shared" si="31"/>
        <v>0</v>
      </c>
      <c r="CP19" s="36" t="str">
        <f t="shared" si="32"/>
        <v/>
      </c>
      <c r="CQ19" s="36">
        <f t="shared" si="33"/>
        <v>999</v>
      </c>
      <c r="CR19" s="36">
        <f t="shared" si="34"/>
        <v>13</v>
      </c>
      <c r="CS19" s="36">
        <f t="shared" si="35"/>
        <v>13</v>
      </c>
      <c r="CT19" s="36">
        <f t="shared" si="36"/>
        <v>999</v>
      </c>
      <c r="CU19" s="36" t="str">
        <f t="shared" si="37"/>
        <v/>
      </c>
      <c r="CV19" s="36">
        <f t="shared" si="38"/>
        <v>0</v>
      </c>
      <c r="CW19" s="36">
        <f t="shared" si="39"/>
        <v>0</v>
      </c>
      <c r="CX19" s="149" t="str">
        <f t="shared" si="171"/>
        <v/>
      </c>
      <c r="DA19" s="36" t="str">
        <f>D31</f>
        <v/>
      </c>
      <c r="DB19" s="36" t="str">
        <f>E31</f>
        <v/>
      </c>
      <c r="DC19" s="36" t="str">
        <f>H31</f>
        <v/>
      </c>
      <c r="DD19" s="36" t="str">
        <f t="shared" si="40"/>
        <v/>
      </c>
      <c r="DF19" s="36" t="str">
        <f t="shared" si="41"/>
        <v/>
      </c>
      <c r="DG19" s="36" t="str">
        <f t="shared" si="42"/>
        <v/>
      </c>
      <c r="DH19" s="36" t="str">
        <f t="shared" si="43"/>
        <v/>
      </c>
      <c r="DI19" s="36" t="str">
        <f t="shared" si="6"/>
        <v/>
      </c>
      <c r="DJ19" s="36" t="str">
        <f t="shared" si="44"/>
        <v/>
      </c>
      <c r="DL19" s="36" t="str">
        <f t="shared" si="7"/>
        <v/>
      </c>
      <c r="DM19" s="149" t="str">
        <f t="shared" si="45"/>
        <v/>
      </c>
      <c r="DN19" s="36" t="str">
        <f t="shared" si="46"/>
        <v/>
      </c>
      <c r="DO19" s="36" t="str">
        <f t="shared" si="47"/>
        <v/>
      </c>
      <c r="DP19" s="36" t="str">
        <f t="shared" si="48"/>
        <v/>
      </c>
      <c r="DR19" s="36" t="str">
        <f t="shared" si="49"/>
        <v/>
      </c>
      <c r="DS19" s="36" t="str">
        <f t="shared" si="50"/>
        <v/>
      </c>
      <c r="DT19" s="36" t="str">
        <f t="shared" si="51"/>
        <v/>
      </c>
      <c r="DV19" s="36" t="str">
        <f>DT13</f>
        <v/>
      </c>
      <c r="DX19" s="152" t="str">
        <f t="shared" si="52"/>
        <v/>
      </c>
      <c r="DY19" s="36" t="str">
        <f t="shared" si="53"/>
        <v/>
      </c>
      <c r="DZ19" s="36" t="str">
        <f t="shared" si="54"/>
        <v/>
      </c>
      <c r="EA19" s="36" t="str">
        <f t="shared" si="55"/>
        <v/>
      </c>
      <c r="EB19" s="173" t="str">
        <f t="shared" si="56"/>
        <v/>
      </c>
      <c r="ED19" s="122">
        <v>13</v>
      </c>
      <c r="EE19" s="36" t="str">
        <f t="shared" si="57"/>
        <v/>
      </c>
      <c r="EF19" s="36">
        <f t="shared" si="58"/>
        <v>0</v>
      </c>
      <c r="EG19" s="36" t="str">
        <f>IF(SUM($BH31:$BJ31)=2,$BH$2,"")</f>
        <v/>
      </c>
      <c r="EH19" s="36" t="str">
        <f t="shared" si="59"/>
        <v/>
      </c>
      <c r="EJ19" s="36">
        <f t="shared" si="60"/>
        <v>999</v>
      </c>
      <c r="EK19" s="36">
        <f t="shared" si="61"/>
        <v>999</v>
      </c>
      <c r="EL19" s="36" t="str">
        <f t="shared" si="62"/>
        <v/>
      </c>
      <c r="EM19" s="36">
        <f t="shared" si="63"/>
        <v>1</v>
      </c>
      <c r="EN19" s="36">
        <f t="shared" si="64"/>
        <v>0</v>
      </c>
      <c r="EQ19" s="36" t="str">
        <f t="shared" si="172"/>
        <v/>
      </c>
      <c r="ER19" s="36">
        <f t="shared" si="65"/>
        <v>0</v>
      </c>
      <c r="ES19" s="36">
        <f t="shared" si="66"/>
        <v>0</v>
      </c>
      <c r="ET19" s="149" t="str">
        <f t="shared" si="67"/>
        <v/>
      </c>
      <c r="EV19" s="36" t="str">
        <f>D31</f>
        <v/>
      </c>
      <c r="EW19" s="36" t="str">
        <f>E31</f>
        <v/>
      </c>
      <c r="EX19" s="36" t="str">
        <f>H31</f>
        <v/>
      </c>
      <c r="EY19" s="36" t="str">
        <f>K31</f>
        <v/>
      </c>
      <c r="EZ19" s="36" t="str">
        <f t="shared" si="68"/>
        <v/>
      </c>
      <c r="FB19" s="36" t="str">
        <f t="shared" si="69"/>
        <v/>
      </c>
      <c r="FC19" s="36" t="str">
        <f t="shared" si="70"/>
        <v/>
      </c>
      <c r="FD19" s="36" t="str">
        <f>IF(FB19="","",(INDEX($EW$7:$EW$21,FB19)))</f>
        <v/>
      </c>
      <c r="FE19" s="36" t="str">
        <f>IF(FB19="","",(INDEX($EX$7:$EX$21,FB19)))</f>
        <v/>
      </c>
      <c r="FF19" s="36" t="str">
        <f>IF(FB19="","",(INDEX($EY$7:$EY$21,FB19)))</f>
        <v/>
      </c>
      <c r="FG19" s="36" t="str">
        <f>IF(FB19="","",(INDEX($EZ$7:$EZ$21,FB19)))</f>
        <v/>
      </c>
      <c r="FI19" s="36" t="str">
        <f t="shared" si="75"/>
        <v/>
      </c>
      <c r="FJ19" s="36" t="str">
        <f t="shared" si="76"/>
        <v/>
      </c>
      <c r="FL19" s="36" t="str">
        <f t="shared" si="77"/>
        <v/>
      </c>
      <c r="FM19" s="36" t="str">
        <f t="shared" si="78"/>
        <v/>
      </c>
      <c r="FN19" s="36" t="str">
        <f t="shared" si="79"/>
        <v/>
      </c>
      <c r="FO19" s="36" t="str">
        <f t="shared" si="80"/>
        <v/>
      </c>
      <c r="FP19" s="36" t="str">
        <f t="shared" si="81"/>
        <v/>
      </c>
      <c r="FQ19" s="36" t="str">
        <f t="shared" si="82"/>
        <v/>
      </c>
      <c r="FR19" s="173" t="str">
        <f t="shared" si="8"/>
        <v/>
      </c>
      <c r="FT19" s="36">
        <v>13</v>
      </c>
      <c r="FV19" s="36" t="str">
        <f t="shared" si="83"/>
        <v/>
      </c>
      <c r="FW19" s="36" t="str">
        <f t="shared" si="84"/>
        <v/>
      </c>
      <c r="FX19" s="36" t="str">
        <f t="shared" si="85"/>
        <v/>
      </c>
      <c r="FZ19" s="36" t="str">
        <f>FX13</f>
        <v/>
      </c>
      <c r="GA19" s="152"/>
      <c r="GB19" s="122">
        <v>13</v>
      </c>
      <c r="GC19" s="36" t="str">
        <f>IF(D31="","",D31)</f>
        <v/>
      </c>
      <c r="GD19" s="36" t="str">
        <f>IF(E31="","",E31)</f>
        <v/>
      </c>
      <c r="GE19" s="36" t="str">
        <f>IF(H31="","",H31)</f>
        <v/>
      </c>
      <c r="GF19" s="36" t="str">
        <f>IF(K31="","",K31)</f>
        <v/>
      </c>
      <c r="GG19" s="36" t="str">
        <f>IF(N31="","",N31)</f>
        <v/>
      </c>
      <c r="GH19" s="36" t="str">
        <f>IF(Q31="","",Q31)</f>
        <v/>
      </c>
      <c r="GI19" s="36" t="str">
        <f>IF(T31="","",T31)</f>
        <v/>
      </c>
      <c r="GJ19" s="36" t="str">
        <f>IF(W31="","",W31)</f>
        <v/>
      </c>
      <c r="GK19" s="36" t="str">
        <f>IF(C31="","",C31)</f>
        <v/>
      </c>
      <c r="GM19" s="36" t="str">
        <f>IF(F31="","",F31)</f>
        <v/>
      </c>
      <c r="GN19" s="36" t="str">
        <f>IF(I31="","",I31)</f>
        <v/>
      </c>
      <c r="GO19" s="36" t="str">
        <f>IF(L31="","",L31)</f>
        <v/>
      </c>
      <c r="GP19" s="36" t="str">
        <f>IF(O31="","",O31)</f>
        <v/>
      </c>
      <c r="GQ19" s="36" t="str">
        <f>IF(R31="","",R31)</f>
        <v/>
      </c>
      <c r="GR19" s="36" t="str">
        <f>IF(U31="","",U31)</f>
        <v/>
      </c>
      <c r="GS19" s="36" t="str">
        <f>IF(X31="","",X31)</f>
        <v/>
      </c>
      <c r="GU19" s="36" t="str">
        <f>IF(F32="","",F32)</f>
        <v/>
      </c>
      <c r="GV19" s="36" t="str">
        <f>IF(I32="","",I32)</f>
        <v/>
      </c>
      <c r="GW19" s="36" t="str">
        <f>IF(L32="","",L32)</f>
        <v/>
      </c>
      <c r="GX19" s="36" t="str">
        <f>IF(O32="","",O32)</f>
        <v/>
      </c>
      <c r="GY19" s="36" t="str">
        <f>IF(R32="","",R32)</f>
        <v/>
      </c>
      <c r="GZ19" s="36" t="str">
        <f>IF(U32="","",U32)</f>
        <v/>
      </c>
      <c r="HA19" s="36" t="str">
        <f>IF(X32="","",X32)</f>
        <v/>
      </c>
      <c r="HB19" s="152"/>
      <c r="HC19" s="122">
        <v>13</v>
      </c>
      <c r="HD19" s="36" t="str">
        <f>IF(SUM($BH31:$BK31)&gt;=2,$BH$2,"")</f>
        <v/>
      </c>
      <c r="HE19" s="36" t="str">
        <f t="shared" si="86"/>
        <v/>
      </c>
      <c r="HF19" s="36" t="str">
        <f t="shared" si="87"/>
        <v/>
      </c>
      <c r="HG19" s="36" t="str">
        <f t="shared" si="88"/>
        <v/>
      </c>
      <c r="HH19" s="36" t="str">
        <f t="shared" si="89"/>
        <v/>
      </c>
      <c r="HI19" s="36" t="str">
        <f t="shared" si="90"/>
        <v/>
      </c>
      <c r="HK19" s="36" t="str">
        <f t="shared" si="91"/>
        <v/>
      </c>
      <c r="HM19" s="36">
        <f t="shared" si="92"/>
        <v>999</v>
      </c>
      <c r="HN19" s="36">
        <f t="shared" si="93"/>
        <v>999</v>
      </c>
      <c r="HO19" s="36" t="str">
        <f t="shared" si="9"/>
        <v/>
      </c>
      <c r="HQ19" s="36">
        <f t="shared" si="94"/>
        <v>1</v>
      </c>
      <c r="HR19" s="36">
        <f t="shared" si="95"/>
        <v>0</v>
      </c>
      <c r="HS19" s="36" t="str">
        <f t="shared" si="173"/>
        <v/>
      </c>
      <c r="HT19" s="36">
        <f t="shared" si="96"/>
        <v>0</v>
      </c>
      <c r="HU19" s="149" t="str">
        <f t="shared" si="97"/>
        <v/>
      </c>
      <c r="HV19" s="138"/>
      <c r="HW19" s="36" t="str">
        <f t="shared" si="98"/>
        <v/>
      </c>
      <c r="HX19" s="36" t="str">
        <f t="shared" si="99"/>
        <v/>
      </c>
      <c r="HY19" s="36" t="str">
        <f t="shared" si="100"/>
        <v/>
      </c>
      <c r="HZ19" s="36" t="str">
        <f t="shared" si="101"/>
        <v/>
      </c>
      <c r="IA19" s="36" t="str">
        <f t="shared" si="102"/>
        <v/>
      </c>
      <c r="IC19" s="36" t="str">
        <f t="shared" si="174"/>
        <v/>
      </c>
      <c r="ID19" s="36" t="str">
        <f>IF(HS19="","",(IF(HW19=HX19,$ID$6,IF(HW19=HY19,$ID$6,IF(HW19=HZ19,$ID$6,IF(HW19=IA19,$ID$6,""))))))</f>
        <v/>
      </c>
      <c r="IH19" s="149"/>
      <c r="II19" s="138"/>
      <c r="IM19" s="36" t="str">
        <f>IF(HU19="",IF(HS19="","",HS19),HU19)</f>
        <v/>
      </c>
      <c r="IN19" s="36" t="str">
        <f t="shared" si="111"/>
        <v/>
      </c>
      <c r="IP19" s="36" t="str">
        <f>IN13</f>
        <v/>
      </c>
      <c r="IQ19" s="152"/>
      <c r="IR19" s="122">
        <v>13</v>
      </c>
      <c r="IS19" s="36" t="str">
        <f>IF(SUM($BH31:$BL31)&gt;1,$BH$2,"")</f>
        <v/>
      </c>
      <c r="IT19" s="36" t="str">
        <f t="shared" si="112"/>
        <v/>
      </c>
      <c r="IU19" s="36" t="str">
        <f t="shared" si="113"/>
        <v/>
      </c>
      <c r="IV19" s="36" t="str">
        <f t="shared" si="114"/>
        <v/>
      </c>
      <c r="IW19" s="36" t="str">
        <f t="shared" si="115"/>
        <v/>
      </c>
      <c r="IX19" s="36" t="str">
        <f t="shared" si="116"/>
        <v/>
      </c>
      <c r="IY19" s="36" t="str">
        <f t="shared" si="117"/>
        <v/>
      </c>
      <c r="IZ19" s="36" t="str">
        <f t="shared" si="118"/>
        <v/>
      </c>
      <c r="JB19" s="36">
        <f t="shared" si="119"/>
        <v>999</v>
      </c>
      <c r="JC19" s="36">
        <f t="shared" si="120"/>
        <v>999</v>
      </c>
      <c r="JD19" s="36" t="str">
        <f t="shared" si="10"/>
        <v/>
      </c>
      <c r="JF19" s="36">
        <f t="shared" si="121"/>
        <v>1</v>
      </c>
      <c r="JG19" s="36">
        <f t="shared" si="122"/>
        <v>0</v>
      </c>
      <c r="JH19" s="36" t="str">
        <f t="shared" si="175"/>
        <v/>
      </c>
      <c r="JI19" s="36">
        <f t="shared" si="123"/>
        <v>0</v>
      </c>
      <c r="JJ19" s="149" t="str">
        <f t="shared" si="124"/>
        <v/>
      </c>
      <c r="JM19" s="36" t="str">
        <f t="shared" si="125"/>
        <v/>
      </c>
      <c r="JN19" s="36" t="str">
        <f t="shared" si="126"/>
        <v/>
      </c>
      <c r="JO19" s="36" t="str">
        <f t="shared" si="127"/>
        <v/>
      </c>
      <c r="JP19" s="36" t="str">
        <f t="shared" si="128"/>
        <v/>
      </c>
      <c r="JQ19" s="36" t="str">
        <f t="shared" si="129"/>
        <v/>
      </c>
      <c r="JS19" s="36" t="str">
        <f t="shared" si="130"/>
        <v/>
      </c>
      <c r="JX19" s="149" t="str">
        <f t="shared" si="132"/>
        <v/>
      </c>
      <c r="JY19" s="138"/>
      <c r="KB19" s="36" t="str">
        <f t="shared" si="134"/>
        <v/>
      </c>
      <c r="KC19" s="36" t="str">
        <f t="shared" si="135"/>
        <v/>
      </c>
      <c r="KD19" s="36" t="str">
        <f t="shared" si="136"/>
        <v/>
      </c>
      <c r="KF19" s="36" t="str">
        <f>KD13</f>
        <v/>
      </c>
      <c r="KG19" s="152"/>
      <c r="KH19" s="122">
        <v>13</v>
      </c>
      <c r="KI19" t="str">
        <f>IF(SUM($BH31:$BM31)&gt;1,$BH$2,"")</f>
        <v/>
      </c>
      <c r="KJ19" s="36" t="str">
        <f t="shared" si="137"/>
        <v/>
      </c>
      <c r="KK19" s="36" t="str">
        <f t="shared" si="138"/>
        <v/>
      </c>
      <c r="KL19" s="36" t="str">
        <f t="shared" si="139"/>
        <v/>
      </c>
      <c r="KM19" s="36" t="str">
        <f t="shared" si="140"/>
        <v/>
      </c>
      <c r="KN19" s="36" t="str">
        <f t="shared" si="141"/>
        <v/>
      </c>
      <c r="KO19" s="36" t="str">
        <f t="shared" si="142"/>
        <v/>
      </c>
      <c r="KP19" s="36" t="str">
        <f t="shared" si="143"/>
        <v/>
      </c>
      <c r="KQ19" s="36" t="str">
        <f t="shared" si="144"/>
        <v/>
      </c>
      <c r="KS19" s="36">
        <f t="shared" si="145"/>
        <v>999</v>
      </c>
      <c r="KT19" s="36">
        <f t="shared" si="146"/>
        <v>999</v>
      </c>
      <c r="KU19" s="36" t="str">
        <f t="shared" si="12"/>
        <v/>
      </c>
      <c r="KW19" s="36">
        <f t="shared" si="147"/>
        <v>1</v>
      </c>
      <c r="KX19" s="36">
        <f t="shared" si="148"/>
        <v>0</v>
      </c>
      <c r="KY19" s="36" t="str">
        <f t="shared" si="178"/>
        <v/>
      </c>
      <c r="KZ19" s="36">
        <f t="shared" si="149"/>
        <v>0</v>
      </c>
      <c r="LA19" s="149" t="str">
        <f t="shared" si="150"/>
        <v/>
      </c>
      <c r="LC19" s="36" t="str">
        <f t="shared" si="151"/>
        <v/>
      </c>
      <c r="LD19" s="36" t="str">
        <f t="shared" si="152"/>
        <v/>
      </c>
      <c r="LE19" s="36" t="str">
        <f t="shared" si="153"/>
        <v/>
      </c>
      <c r="LF19" s="36" t="str">
        <f t="shared" si="154"/>
        <v/>
      </c>
      <c r="LG19" s="36" t="str">
        <f t="shared" si="155"/>
        <v/>
      </c>
      <c r="LH19" s="36" t="str">
        <f t="shared" si="156"/>
        <v/>
      </c>
      <c r="LI19" s="36" t="str">
        <f t="shared" si="157"/>
        <v/>
      </c>
      <c r="LJ19" s="36" t="str">
        <f t="shared" si="158"/>
        <v/>
      </c>
      <c r="LK19" s="36" t="str">
        <f t="shared" si="159"/>
        <v/>
      </c>
      <c r="LL19" s="36" t="str">
        <f>IF(KY19="","",(IF(LC19=$KY$7,$LA$7,IF(LC19=$KY$8,$LA$8,IF(LC19=$KY$9,$LA$9,IF(LC19=$KY$10,$LA$10,IF(LC19=$KY$11,$LA$11,IF(LC19=$KY$12,$LA$12,IF(LC19=$KY$13,$LA$13,IF(LC19=$KY$14,$LA$14,""))))))))))</f>
        <v/>
      </c>
      <c r="LM19" s="36" t="str">
        <f t="shared" si="161"/>
        <v/>
      </c>
      <c r="LN19" s="36" t="str">
        <f t="shared" si="162"/>
        <v/>
      </c>
      <c r="LO19" s="149" t="str">
        <f t="shared" si="163"/>
        <v/>
      </c>
      <c r="LP19" s="138"/>
      <c r="LQ19" s="36" t="str">
        <f t="shared" si="164"/>
        <v/>
      </c>
      <c r="LS19" s="36" t="str">
        <f t="shared" si="165"/>
        <v/>
      </c>
      <c r="LT19" s="36" t="str">
        <f t="shared" si="166"/>
        <v/>
      </c>
      <c r="LU19" s="36" t="str">
        <f t="shared" si="167"/>
        <v/>
      </c>
      <c r="LW19" s="36" t="str">
        <f>LU13</f>
        <v/>
      </c>
      <c r="LX19" s="152"/>
    </row>
    <row r="20" spans="1:336" ht="14.25" customHeight="1" thickBot="1" x14ac:dyDescent="0.3">
      <c r="A20" s="365"/>
      <c r="B20" s="360"/>
      <c r="C20" s="363"/>
      <c r="D20" s="362"/>
      <c r="E20" s="346"/>
      <c r="F20" s="29"/>
      <c r="G20" s="30"/>
      <c r="H20" s="346"/>
      <c r="I20" s="29"/>
      <c r="J20" s="30"/>
      <c r="K20" s="334"/>
      <c r="L20" s="29"/>
      <c r="M20" s="30"/>
      <c r="N20" s="334"/>
      <c r="O20" s="29"/>
      <c r="P20" s="30"/>
      <c r="Q20" s="334"/>
      <c r="R20" s="29"/>
      <c r="S20" s="30"/>
      <c r="T20" s="334"/>
      <c r="U20" s="29"/>
      <c r="V20" s="30"/>
      <c r="W20" s="337"/>
      <c r="X20" s="29"/>
      <c r="Y20" s="30"/>
      <c r="Z20" s="338"/>
      <c r="AA20" s="335"/>
      <c r="AB20" s="336"/>
      <c r="AC20" s="357"/>
      <c r="AD20" s="327"/>
      <c r="AE20" s="328"/>
      <c r="AG20" s="252">
        <v>14</v>
      </c>
      <c r="AH20" s="138" t="str">
        <f t="shared" si="13"/>
        <v/>
      </c>
      <c r="AI20" s="177"/>
      <c r="AJ20" s="36" t="str">
        <f>IF($K$5="","",(IF(EB20="",(IF(AH20="","",(IF(CX20=$BQ$2,$BQ$2,IF((AI20)="","",AI20))))),EB20)))</f>
        <v/>
      </c>
      <c r="AK20" s="149" t="str">
        <f>IF($K$5="","",(IF($H$5="","",(DM20))))</f>
        <v/>
      </c>
      <c r="AM20" s="138" t="str">
        <f t="shared" si="16"/>
        <v/>
      </c>
      <c r="AO20" s="36" t="str">
        <f t="shared" si="3"/>
        <v/>
      </c>
      <c r="AP20" s="149" t="str">
        <f>IF($N$5="","",(FM20))</f>
        <v/>
      </c>
      <c r="AR20" s="138"/>
      <c r="AU20" s="149"/>
      <c r="AW20" s="138"/>
      <c r="AZ20" s="149"/>
      <c r="BB20" s="138"/>
      <c r="BE20" s="149"/>
      <c r="BH20" s="36" t="str">
        <f>IF(E20=$BQ$2,"",(IF(A20="","",(IF(F20="","",(IF(F20&lt;2,1,0)))))))</f>
        <v/>
      </c>
      <c r="BI20" s="36" t="str">
        <f>IF(H20=$BQ$2,"",(IF(A20="","",(IF(I20="","",(IF(I20&lt;2,1,0)))))))</f>
        <v/>
      </c>
      <c r="BJ20" s="36" t="str">
        <f>IF(K20=$BQ$2,"",(IF(A20="","",(IF(L20="","",(IF(L20&lt;2,1,0)))))))</f>
        <v/>
      </c>
      <c r="BK20" s="36" t="str">
        <f>IF(W20=$BQ$2,"",(IF(A20="","",(IF(X20="","",(IF(X20&lt;2,1,0)))))))</f>
        <v/>
      </c>
      <c r="BP20" s="36" t="str">
        <f>IF(BH20="","",(SUM(BH20:BK20)))</f>
        <v/>
      </c>
      <c r="BR20" s="36" t="str">
        <f>BP33</f>
        <v/>
      </c>
      <c r="BS20" s="36" t="str">
        <f>D33</f>
        <v/>
      </c>
      <c r="BT20" s="36" t="str">
        <f>IF(SUM(BH33,BI33)=2,$BH$2,"")</f>
        <v/>
      </c>
      <c r="BV20" s="36">
        <f t="shared" si="5"/>
        <v>999</v>
      </c>
      <c r="BW20" s="36">
        <f t="shared" si="25"/>
        <v>999</v>
      </c>
      <c r="BX20" s="36">
        <f t="shared" si="168"/>
        <v>14</v>
      </c>
      <c r="BY20" s="36">
        <f t="shared" si="26"/>
        <v>999</v>
      </c>
      <c r="CB20" s="122">
        <v>14</v>
      </c>
      <c r="CC20" s="36">
        <f>IF(D33="",0,D33)</f>
        <v>0</v>
      </c>
      <c r="CD20" s="36">
        <f t="shared" si="27"/>
        <v>0</v>
      </c>
      <c r="CE20" s="36">
        <f t="shared" si="28"/>
        <v>0</v>
      </c>
      <c r="CH20" s="36">
        <f t="shared" si="169"/>
        <v>0</v>
      </c>
      <c r="CI20" s="36">
        <f t="shared" si="29"/>
        <v>0</v>
      </c>
      <c r="CJ20" s="36">
        <f t="shared" si="30"/>
        <v>0</v>
      </c>
      <c r="CM20" s="36">
        <f t="shared" si="170"/>
        <v>0</v>
      </c>
      <c r="CO20" s="36">
        <f t="shared" si="31"/>
        <v>0</v>
      </c>
      <c r="CP20" s="36" t="str">
        <f t="shared" si="32"/>
        <v/>
      </c>
      <c r="CQ20" s="36">
        <f t="shared" si="33"/>
        <v>999</v>
      </c>
      <c r="CR20" s="36">
        <f t="shared" si="34"/>
        <v>14</v>
      </c>
      <c r="CS20" s="36">
        <f t="shared" si="35"/>
        <v>14</v>
      </c>
      <c r="CT20" s="36">
        <f t="shared" si="36"/>
        <v>999</v>
      </c>
      <c r="CU20" s="36" t="str">
        <f t="shared" si="37"/>
        <v/>
      </c>
      <c r="CV20" s="36">
        <f t="shared" si="38"/>
        <v>0</v>
      </c>
      <c r="CW20" s="36">
        <f t="shared" si="39"/>
        <v>0</v>
      </c>
      <c r="CX20" s="149" t="str">
        <f t="shared" si="171"/>
        <v/>
      </c>
      <c r="DA20" s="36" t="str">
        <f>D33</f>
        <v/>
      </c>
      <c r="DB20" s="36" t="str">
        <f>E33</f>
        <v/>
      </c>
      <c r="DC20" s="36" t="str">
        <f>H33</f>
        <v/>
      </c>
      <c r="DD20" s="36" t="str">
        <f t="shared" si="40"/>
        <v/>
      </c>
      <c r="DF20" s="36" t="str">
        <f t="shared" si="41"/>
        <v/>
      </c>
      <c r="DG20" s="36" t="str">
        <f t="shared" si="42"/>
        <v/>
      </c>
      <c r="DH20" s="36" t="str">
        <f t="shared" si="43"/>
        <v/>
      </c>
      <c r="DI20" s="36" t="str">
        <f t="shared" si="6"/>
        <v/>
      </c>
      <c r="DJ20" s="36" t="str">
        <f t="shared" si="44"/>
        <v/>
      </c>
      <c r="DL20" s="36" t="str">
        <f t="shared" si="7"/>
        <v/>
      </c>
      <c r="DM20" s="149" t="str">
        <f t="shared" si="45"/>
        <v/>
      </c>
      <c r="DN20" s="36" t="str">
        <f t="shared" si="46"/>
        <v/>
      </c>
      <c r="DO20" s="36" t="str">
        <f t="shared" si="47"/>
        <v/>
      </c>
      <c r="DP20" s="36" t="str">
        <f t="shared" si="48"/>
        <v/>
      </c>
      <c r="DR20" s="36" t="str">
        <f t="shared" si="49"/>
        <v/>
      </c>
      <c r="DS20" s="36" t="str">
        <f t="shared" si="50"/>
        <v/>
      </c>
      <c r="DT20" s="36" t="str">
        <f t="shared" si="51"/>
        <v/>
      </c>
      <c r="DX20" s="152" t="str">
        <f t="shared" si="52"/>
        <v/>
      </c>
      <c r="DY20" s="36" t="str">
        <f t="shared" si="53"/>
        <v/>
      </c>
      <c r="DZ20" s="36" t="str">
        <f t="shared" si="54"/>
        <v/>
      </c>
      <c r="EA20" s="36" t="str">
        <f t="shared" si="55"/>
        <v/>
      </c>
      <c r="EB20" s="173" t="str">
        <f t="shared" si="56"/>
        <v/>
      </c>
      <c r="ED20" s="122">
        <v>14</v>
      </c>
      <c r="EE20" s="36" t="str">
        <f t="shared" si="57"/>
        <v/>
      </c>
      <c r="EF20" s="36">
        <f t="shared" si="58"/>
        <v>0</v>
      </c>
      <c r="EG20" s="36" t="str">
        <f>IF(SUM($BH33:$BJ33)=2,$BH$2,"")</f>
        <v/>
      </c>
      <c r="EH20" s="36" t="str">
        <f t="shared" si="59"/>
        <v/>
      </c>
      <c r="EJ20" s="36">
        <f t="shared" si="60"/>
        <v>999</v>
      </c>
      <c r="EK20" s="36">
        <f t="shared" si="61"/>
        <v>999</v>
      </c>
      <c r="EL20" s="36" t="str">
        <f t="shared" si="62"/>
        <v/>
      </c>
      <c r="EM20" s="36">
        <f t="shared" si="63"/>
        <v>1</v>
      </c>
      <c r="EN20" s="36">
        <f t="shared" si="64"/>
        <v>0</v>
      </c>
      <c r="EQ20" s="36" t="str">
        <f t="shared" si="172"/>
        <v/>
      </c>
      <c r="ER20" s="36">
        <f t="shared" si="65"/>
        <v>0</v>
      </c>
      <c r="ES20" s="36">
        <f t="shared" si="66"/>
        <v>0</v>
      </c>
      <c r="ET20" s="149" t="str">
        <f t="shared" si="67"/>
        <v/>
      </c>
      <c r="EV20" s="36" t="str">
        <f>D33</f>
        <v/>
      </c>
      <c r="EW20" s="36" t="str">
        <f>E33</f>
        <v/>
      </c>
      <c r="EX20" s="36" t="str">
        <f>H33</f>
        <v/>
      </c>
      <c r="EY20" s="36" t="str">
        <f>K33</f>
        <v/>
      </c>
      <c r="EZ20" s="36" t="str">
        <f t="shared" si="68"/>
        <v/>
      </c>
      <c r="FB20" s="36" t="str">
        <f t="shared" si="69"/>
        <v/>
      </c>
      <c r="FC20" s="36" t="str">
        <f t="shared" si="70"/>
        <v/>
      </c>
      <c r="FD20" s="36" t="str">
        <f>IF(FB20="","",(INDEX($EW$7:$EW$21,FB20)))</f>
        <v/>
      </c>
      <c r="FE20" s="36" t="str">
        <f>IF(FB20="","",(INDEX($EX$7:$EX$21,FB20)))</f>
        <v/>
      </c>
      <c r="FF20" s="36" t="str">
        <f>IF(FB20="","",(INDEX($EY$7:$EY$21,FB20)))</f>
        <v/>
      </c>
      <c r="FG20" s="36" t="str">
        <f>IF(FB20="","",(INDEX($EZ$7:$EZ$21,FB20)))</f>
        <v/>
      </c>
      <c r="FI20" s="36" t="str">
        <f t="shared" si="75"/>
        <v/>
      </c>
      <c r="FJ20" s="36" t="str">
        <f t="shared" si="76"/>
        <v/>
      </c>
      <c r="FL20" s="36" t="str">
        <f t="shared" si="77"/>
        <v/>
      </c>
      <c r="FM20" s="36" t="str">
        <f t="shared" si="78"/>
        <v/>
      </c>
      <c r="FN20" s="36" t="str">
        <f t="shared" si="79"/>
        <v/>
      </c>
      <c r="FO20" s="36" t="str">
        <f t="shared" si="80"/>
        <v/>
      </c>
      <c r="FP20" s="36" t="str">
        <f t="shared" si="81"/>
        <v/>
      </c>
      <c r="FQ20" s="36" t="str">
        <f t="shared" si="82"/>
        <v/>
      </c>
      <c r="FR20" s="173" t="str">
        <f t="shared" si="8"/>
        <v/>
      </c>
      <c r="FT20" s="36">
        <v>14</v>
      </c>
      <c r="FV20" s="36" t="str">
        <f t="shared" si="83"/>
        <v/>
      </c>
      <c r="FW20" s="36" t="str">
        <f t="shared" si="84"/>
        <v/>
      </c>
      <c r="FX20" s="36" t="str">
        <f t="shared" si="85"/>
        <v/>
      </c>
      <c r="GA20" s="152"/>
      <c r="GB20" s="122">
        <v>14</v>
      </c>
      <c r="GC20" s="36" t="str">
        <f>IF(D33="","",D33)</f>
        <v/>
      </c>
      <c r="GD20" s="36" t="str">
        <f>IF(E33="","",E33)</f>
        <v/>
      </c>
      <c r="GE20" s="36" t="str">
        <f>IF(H33="","",H33)</f>
        <v/>
      </c>
      <c r="GF20" s="36" t="str">
        <f>IF(K33="","",K33)</f>
        <v/>
      </c>
      <c r="GG20" s="36" t="str">
        <f>IF(N33="","",N33)</f>
        <v/>
      </c>
      <c r="GH20" s="36" t="str">
        <f>IF(Q33="","",Q33)</f>
        <v/>
      </c>
      <c r="GI20" s="36" t="str">
        <f>IF(T33="","",T33)</f>
        <v/>
      </c>
      <c r="GJ20" s="36" t="str">
        <f>IF(W33="","",W33)</f>
        <v/>
      </c>
      <c r="GK20" s="36" t="str">
        <f>IF(C33="","",C33)</f>
        <v/>
      </c>
      <c r="GM20" s="36" t="str">
        <f>IF(F33="","",F33)</f>
        <v/>
      </c>
      <c r="GN20" s="36" t="str">
        <f>IF(I33="","",I33)</f>
        <v/>
      </c>
      <c r="GO20" s="36" t="str">
        <f>IF(L33="","",L33)</f>
        <v/>
      </c>
      <c r="GP20" s="36" t="str">
        <f>IF(O33="","",O33)</f>
        <v/>
      </c>
      <c r="GQ20" s="36" t="str">
        <f>IF(R33="","",R33)</f>
        <v/>
      </c>
      <c r="GR20" s="36" t="str">
        <f>IF(U33="","",U33)</f>
        <v/>
      </c>
      <c r="GS20" s="36" t="str">
        <f>IF(X33="","",X33)</f>
        <v/>
      </c>
      <c r="GU20" s="36" t="str">
        <f>IF(F34="","",F34)</f>
        <v/>
      </c>
      <c r="GV20" s="36" t="str">
        <f>IF(I34="","",I34)</f>
        <v/>
      </c>
      <c r="GW20" s="36" t="str">
        <f>IF(L34="","",L34)</f>
        <v/>
      </c>
      <c r="GX20" s="36" t="str">
        <f>IF(O34="","",O34)</f>
        <v/>
      </c>
      <c r="GY20" s="36" t="str">
        <f>IF(R34="","",R34)</f>
        <v/>
      </c>
      <c r="GZ20" s="36" t="str">
        <f>IF(U34="","",U34)</f>
        <v/>
      </c>
      <c r="HA20" s="36" t="str">
        <f>IF(X34="","",X34)</f>
        <v/>
      </c>
      <c r="HB20" s="152"/>
      <c r="HC20" s="122">
        <v>14</v>
      </c>
      <c r="HD20" s="36" t="str">
        <f>IF(SUM($BH33:$BK33)&gt;=2,$BH$2,"")</f>
        <v/>
      </c>
      <c r="HE20" s="36" t="str">
        <f t="shared" si="86"/>
        <v/>
      </c>
      <c r="HF20" s="36" t="str">
        <f t="shared" si="87"/>
        <v/>
      </c>
      <c r="HG20" s="36" t="str">
        <f t="shared" si="88"/>
        <v/>
      </c>
      <c r="HH20" s="36" t="str">
        <f t="shared" si="89"/>
        <v/>
      </c>
      <c r="HI20" s="36" t="str">
        <f t="shared" si="90"/>
        <v/>
      </c>
      <c r="HK20" s="36" t="str">
        <f t="shared" si="91"/>
        <v/>
      </c>
      <c r="HM20" s="36">
        <f t="shared" si="92"/>
        <v>999</v>
      </c>
      <c r="HN20" s="36">
        <f t="shared" si="93"/>
        <v>999</v>
      </c>
      <c r="HO20" s="36" t="str">
        <f t="shared" si="9"/>
        <v/>
      </c>
      <c r="HQ20" s="36">
        <f t="shared" si="94"/>
        <v>1</v>
      </c>
      <c r="HR20" s="36">
        <f t="shared" si="95"/>
        <v>0</v>
      </c>
      <c r="HS20" s="36" t="str">
        <f t="shared" si="173"/>
        <v/>
      </c>
      <c r="HT20" s="36">
        <f t="shared" si="96"/>
        <v>0</v>
      </c>
      <c r="HU20" s="149" t="str">
        <f t="shared" si="97"/>
        <v/>
      </c>
      <c r="HV20" s="138"/>
      <c r="HW20" s="36" t="str">
        <f t="shared" si="98"/>
        <v/>
      </c>
      <c r="HX20" s="36" t="str">
        <f t="shared" si="99"/>
        <v/>
      </c>
      <c r="HY20" s="36" t="str">
        <f t="shared" si="100"/>
        <v/>
      </c>
      <c r="HZ20" s="36" t="str">
        <f t="shared" si="101"/>
        <v/>
      </c>
      <c r="IA20" s="36" t="str">
        <f t="shared" si="102"/>
        <v/>
      </c>
      <c r="IC20" s="36" t="str">
        <f t="shared" si="174"/>
        <v/>
      </c>
      <c r="ID20" s="36" t="str">
        <f>IF(HS20="","",(IF(HW20=HX20,$ID$6,IF(HW20=HY20,$ID$6,IF(HW20=HZ20,$ID$6,IF(HW20=IA20,$ID$6,""))))))</f>
        <v/>
      </c>
      <c r="IH20" s="149"/>
      <c r="II20" s="138"/>
      <c r="IN20" s="36" t="str">
        <f t="shared" si="111"/>
        <v/>
      </c>
      <c r="IQ20" s="152"/>
      <c r="IR20" s="122">
        <v>14</v>
      </c>
      <c r="IS20" s="36" t="str">
        <f>IF(SUM($BH33:$BL33)&gt;1,$BH$2,"")</f>
        <v/>
      </c>
      <c r="IT20" s="36" t="str">
        <f t="shared" si="112"/>
        <v/>
      </c>
      <c r="IU20" s="36" t="str">
        <f t="shared" si="113"/>
        <v/>
      </c>
      <c r="IV20" s="36" t="str">
        <f t="shared" si="114"/>
        <v/>
      </c>
      <c r="IW20" s="36" t="str">
        <f t="shared" si="115"/>
        <v/>
      </c>
      <c r="IX20" s="36" t="str">
        <f t="shared" si="116"/>
        <v/>
      </c>
      <c r="IY20" s="36" t="str">
        <f t="shared" si="117"/>
        <v/>
      </c>
      <c r="IZ20" s="36" t="str">
        <f t="shared" si="118"/>
        <v/>
      </c>
      <c r="JB20" s="36">
        <f t="shared" si="119"/>
        <v>999</v>
      </c>
      <c r="JC20" s="36">
        <f t="shared" si="120"/>
        <v>999</v>
      </c>
      <c r="JD20" s="36" t="str">
        <f t="shared" si="10"/>
        <v/>
      </c>
      <c r="JF20" s="36">
        <f t="shared" si="121"/>
        <v>1</v>
      </c>
      <c r="JG20" s="36">
        <f t="shared" si="122"/>
        <v>0</v>
      </c>
      <c r="JH20" s="36" t="str">
        <f t="shared" si="175"/>
        <v/>
      </c>
      <c r="JI20" s="36">
        <f t="shared" si="123"/>
        <v>0</v>
      </c>
      <c r="JJ20" s="149" t="str">
        <f t="shared" si="124"/>
        <v/>
      </c>
      <c r="JM20" s="36" t="str">
        <f>IF(JH20="","",(INDEX($GD$7:$GD$22,$JH20)))</f>
        <v/>
      </c>
      <c r="JN20" s="36" t="str">
        <f>IF(JH20="","",(INDEX($GE$7:$GE$22,$JH20)))</f>
        <v/>
      </c>
      <c r="JO20" s="36" t="str">
        <f>IF(JH20="","",(INDEX($GF$7:$GF$22,$JH20)))</f>
        <v/>
      </c>
      <c r="JP20" s="36" t="str">
        <f>IF(JH20="","",(INDEX($GG$7:$GG$22,$JH20)))</f>
        <v/>
      </c>
      <c r="JQ20" s="36" t="str">
        <f>IF(JH20="","",(INDEX($GH$7:$GH$22,$JH20)))</f>
        <v/>
      </c>
      <c r="JS20" s="36" t="str">
        <f t="shared" si="130"/>
        <v/>
      </c>
      <c r="JX20" s="149" t="str">
        <f t="shared" si="132"/>
        <v/>
      </c>
      <c r="JY20" s="138"/>
      <c r="KB20" s="36" t="str">
        <f t="shared" si="134"/>
        <v/>
      </c>
      <c r="KC20" s="36" t="str">
        <f t="shared" si="135"/>
        <v/>
      </c>
      <c r="KD20" s="36" t="str">
        <f t="shared" si="136"/>
        <v/>
      </c>
      <c r="KG20" s="152"/>
      <c r="KH20" s="122">
        <v>14</v>
      </c>
      <c r="KI20" t="str">
        <f>IF(SUM($BH33:$BM33)&gt;1,$BH$2,"")</f>
        <v/>
      </c>
      <c r="KJ20" s="36" t="str">
        <f t="shared" si="137"/>
        <v/>
      </c>
      <c r="KK20" s="36" t="str">
        <f t="shared" si="138"/>
        <v/>
      </c>
      <c r="KL20" s="36" t="str">
        <f t="shared" si="139"/>
        <v/>
      </c>
      <c r="KM20" s="36" t="str">
        <f t="shared" si="140"/>
        <v/>
      </c>
      <c r="KN20" s="36" t="str">
        <f t="shared" si="141"/>
        <v/>
      </c>
      <c r="KO20" s="36" t="str">
        <f t="shared" si="142"/>
        <v/>
      </c>
      <c r="KP20" s="36" t="str">
        <f t="shared" si="143"/>
        <v/>
      </c>
      <c r="KQ20" s="36" t="str">
        <f t="shared" si="144"/>
        <v/>
      </c>
      <c r="KS20" s="36">
        <f t="shared" si="145"/>
        <v>999</v>
      </c>
      <c r="KT20" s="36">
        <f t="shared" si="146"/>
        <v>999</v>
      </c>
      <c r="KU20" s="36" t="str">
        <f t="shared" si="12"/>
        <v/>
      </c>
      <c r="KW20" s="36">
        <f t="shared" si="147"/>
        <v>1</v>
      </c>
      <c r="KX20" s="36">
        <f t="shared" si="148"/>
        <v>0</v>
      </c>
      <c r="KY20" s="36" t="str">
        <f t="shared" si="178"/>
        <v/>
      </c>
      <c r="KZ20" s="36">
        <f t="shared" si="149"/>
        <v>0</v>
      </c>
      <c r="LA20" s="149" t="str">
        <f t="shared" si="150"/>
        <v/>
      </c>
      <c r="LC20" s="36" t="str">
        <f t="shared" si="151"/>
        <v/>
      </c>
      <c r="LD20" s="36" t="str">
        <f t="shared" si="152"/>
        <v/>
      </c>
      <c r="LE20" s="36" t="str">
        <f t="shared" si="153"/>
        <v/>
      </c>
      <c r="LF20" s="36" t="str">
        <f t="shared" si="154"/>
        <v/>
      </c>
      <c r="LG20" s="36" t="str">
        <f t="shared" si="155"/>
        <v/>
      </c>
      <c r="LH20" s="36" t="str">
        <f t="shared" si="156"/>
        <v/>
      </c>
      <c r="LI20" s="36" t="str">
        <f t="shared" si="157"/>
        <v/>
      </c>
      <c r="LJ20" s="36" t="str">
        <f t="shared" si="158"/>
        <v/>
      </c>
      <c r="LK20" s="36" t="str">
        <f t="shared" si="159"/>
        <v/>
      </c>
      <c r="LL20" s="36" t="str">
        <f>IF(KY20="","",(IF(LC20=$KY$7,$LA$7,IF(LC20=$KY$8,$LA$8,IF(LC20=$KY$9,$LA$9,IF(LC20=$KY$10,$LA$10,IF(LC20=$KY$11,$LA$11,IF(LC20=$KY$12,$LA$12,IF(LC20=$KY$13,$LA$13,IF(LC20=$KY$14,$LA$14,""))))))))))</f>
        <v/>
      </c>
      <c r="LM20" s="36" t="str">
        <f t="shared" si="161"/>
        <v/>
      </c>
      <c r="LN20" s="36" t="str">
        <f t="shared" si="162"/>
        <v/>
      </c>
      <c r="LO20" s="149" t="str">
        <f t="shared" si="163"/>
        <v/>
      </c>
      <c r="LP20" s="138"/>
      <c r="LQ20" s="36" t="str">
        <f t="shared" si="164"/>
        <v/>
      </c>
      <c r="LS20" s="36" t="str">
        <f t="shared" si="165"/>
        <v/>
      </c>
      <c r="LT20" s="36" t="str">
        <f t="shared" si="166"/>
        <v/>
      </c>
      <c r="LU20" s="36" t="str">
        <f t="shared" si="167"/>
        <v/>
      </c>
      <c r="LX20" s="152"/>
    </row>
    <row r="21" spans="1:336" ht="14.25" customHeight="1" thickBot="1" x14ac:dyDescent="0.3">
      <c r="A21" s="364" t="str">
        <f>'Vážní listina'!HQ21</f>
        <v/>
      </c>
      <c r="B21" s="359" t="str">
        <f>'Vážní listina'!HR21</f>
        <v/>
      </c>
      <c r="C21" s="363" t="str">
        <f>IF(BP21="","",(IF(BP21&gt;1,$BH$2,"")))</f>
        <v/>
      </c>
      <c r="D21" s="361" t="str">
        <f>'Vážní listina'!HK21</f>
        <v/>
      </c>
      <c r="E21" s="343" t="str">
        <f>'Vážní listina'!HL21</f>
        <v/>
      </c>
      <c r="F21" s="26"/>
      <c r="G21" s="32"/>
      <c r="H21" s="334" t="str">
        <f>IF(H5="","",'Vážní listina'!HM21)</f>
        <v/>
      </c>
      <c r="I21" s="26"/>
      <c r="J21" s="32"/>
      <c r="K21" s="334" t="str">
        <f>IF(K5="","",DV21)</f>
        <v/>
      </c>
      <c r="L21" s="26"/>
      <c r="M21" s="32"/>
      <c r="N21" s="334" t="str">
        <f>IF(N5="","",FZ21)</f>
        <v/>
      </c>
      <c r="O21" s="26"/>
      <c r="P21" s="32"/>
      <c r="Q21" s="334" t="str">
        <f>IF(Q5="","",IP21)</f>
        <v/>
      </c>
      <c r="R21" s="26"/>
      <c r="S21" s="32"/>
      <c r="T21" s="334" t="str">
        <f>IF(T5="","",KF21)</f>
        <v/>
      </c>
      <c r="U21" s="26"/>
      <c r="V21" s="32"/>
      <c r="W21" s="337" t="str">
        <f>IF(W5="","",LW21)</f>
        <v/>
      </c>
      <c r="X21" s="26"/>
      <c r="Y21" s="32"/>
      <c r="Z21" s="338" t="str">
        <f>IF(A21="","",(F21+I21+L21+O21+R21+U21+X21))</f>
        <v/>
      </c>
      <c r="AA21" s="335" t="str">
        <f>IF(A21="","",(F22+I22+L22+O22+R22+U22+X22))</f>
        <v/>
      </c>
      <c r="AB21" s="336" t="str">
        <f>IF(A21="","",(G21+J21+M21+P21+S21+V21+Y21))</f>
        <v/>
      </c>
      <c r="AC21" s="356" t="str">
        <f>HF94</f>
        <v/>
      </c>
      <c r="AD21" s="328"/>
      <c r="AE21" s="328" t="str">
        <f>IF(D21="","",(IF('Tabulka finále'!$BK$47=1,(IF('Tabulka finále'!$K$56="","",(IF($AC$5="","",(IF($H$5="","",(FW132))))))),"")))</f>
        <v/>
      </c>
      <c r="AG21" s="252">
        <v>15</v>
      </c>
      <c r="AH21" s="138" t="str">
        <f t="shared" si="13"/>
        <v/>
      </c>
      <c r="AI21" s="177"/>
      <c r="AJ21" s="36" t="str">
        <f>IF($K$5="","",(IF(EB21="",(IF(AH21="","",(IF(CX21=$BQ$2,$BQ$2,IF((AI21)="","",AI21))))),EB21)))</f>
        <v/>
      </c>
      <c r="AK21" s="149" t="str">
        <f>IF($K$5="","",(IF($H$5="","",(DM21))))</f>
        <v/>
      </c>
      <c r="AM21" s="138" t="str">
        <f t="shared" si="16"/>
        <v/>
      </c>
      <c r="AO21" s="36" t="str">
        <f t="shared" si="3"/>
        <v/>
      </c>
      <c r="AP21" s="149" t="str">
        <f>IF($N$5="","",(FM21))</f>
        <v/>
      </c>
      <c r="AR21" s="138"/>
      <c r="AU21" s="149"/>
      <c r="AW21" s="138"/>
      <c r="AZ21" s="149"/>
      <c r="BB21" s="138"/>
      <c r="BE21" s="149"/>
      <c r="BG21" s="36">
        <f>IF(A21="",0,1)</f>
        <v>0</v>
      </c>
      <c r="BH21" s="36" t="str">
        <f>(IF(E21="","",(IF(E21=$BQ$2,0,(IF(A21="","",(IF(F21="","",(IF(F21&lt;2,1,0))))))))))</f>
        <v/>
      </c>
      <c r="BI21" s="36" t="str">
        <f>IF(H21=$BQ$2,0,(IF(A21="","",(IF(I21="","",(IF(I21&lt;2,1,0)))))))</f>
        <v/>
      </c>
      <c r="BJ21" s="36" t="str">
        <f>IF(L21="","",(IF(L21&lt;2,1,0)))</f>
        <v/>
      </c>
      <c r="BK21" s="36" t="str">
        <f>IF(O21="","",(IF(O21&lt;2,1,0)))</f>
        <v/>
      </c>
      <c r="BL21" s="36" t="str">
        <f>IF(R21="","",(IF(R21&lt;2,1,0)))</f>
        <v/>
      </c>
      <c r="BM21" s="36" t="str">
        <f>IF(U21="","",(IF(U21&lt;2,1,0)))</f>
        <v/>
      </c>
      <c r="BN21" s="36" t="str">
        <f>IF(X21="","",(IF(X21&lt;2,1,0)))</f>
        <v/>
      </c>
      <c r="BP21" s="36" t="str">
        <f>IF(BG21=0,"",(SUM(BH21:BN21)))</f>
        <v/>
      </c>
      <c r="BR21" s="36" t="str">
        <f>BP35</f>
        <v/>
      </c>
      <c r="BS21" s="36" t="str">
        <f>D35</f>
        <v/>
      </c>
      <c r="BT21" s="36" t="str">
        <f>IF(SUM(BH35,BI35)=2,$BH$2,"")</f>
        <v/>
      </c>
      <c r="BV21" s="36">
        <f t="shared" si="5"/>
        <v>999</v>
      </c>
      <c r="BW21" s="36">
        <f t="shared" si="25"/>
        <v>999</v>
      </c>
      <c r="BX21" s="36">
        <f t="shared" si="168"/>
        <v>15</v>
      </c>
      <c r="BY21" s="36">
        <f t="shared" si="26"/>
        <v>999</v>
      </c>
      <c r="CB21" s="122">
        <v>15</v>
      </c>
      <c r="CC21" s="36">
        <f>IF(D35="",0,D35)</f>
        <v>0</v>
      </c>
      <c r="CD21" s="36">
        <f t="shared" si="27"/>
        <v>0</v>
      </c>
      <c r="CE21" s="36">
        <f t="shared" si="28"/>
        <v>0</v>
      </c>
      <c r="CH21" s="36">
        <f t="shared" si="169"/>
        <v>0</v>
      </c>
      <c r="CI21" s="36">
        <f t="shared" si="29"/>
        <v>0</v>
      </c>
      <c r="CJ21" s="36">
        <f t="shared" si="30"/>
        <v>0</v>
      </c>
      <c r="CM21" s="36">
        <f t="shared" si="170"/>
        <v>0</v>
      </c>
      <c r="CO21" s="36">
        <f t="shared" si="31"/>
        <v>0</v>
      </c>
      <c r="CP21" s="36" t="str">
        <f t="shared" si="32"/>
        <v/>
      </c>
      <c r="CQ21" s="36">
        <f t="shared" si="33"/>
        <v>999</v>
      </c>
      <c r="CR21" s="36">
        <f t="shared" si="34"/>
        <v>15</v>
      </c>
      <c r="CS21" s="36">
        <f t="shared" si="35"/>
        <v>15</v>
      </c>
      <c r="CT21" s="36">
        <f t="shared" si="36"/>
        <v>999</v>
      </c>
      <c r="CU21" s="36" t="str">
        <f t="shared" si="37"/>
        <v/>
      </c>
      <c r="CV21" s="36">
        <f t="shared" si="38"/>
        <v>0</v>
      </c>
      <c r="CW21" s="36">
        <f t="shared" si="39"/>
        <v>0</v>
      </c>
      <c r="CX21" s="149" t="str">
        <f t="shared" si="171"/>
        <v/>
      </c>
      <c r="DA21" s="36" t="str">
        <f>D35</f>
        <v/>
      </c>
      <c r="DB21" s="36" t="str">
        <f>E35</f>
        <v/>
      </c>
      <c r="DC21" s="36" t="str">
        <f>H35</f>
        <v/>
      </c>
      <c r="DD21" s="36" t="str">
        <f t="shared" si="40"/>
        <v/>
      </c>
      <c r="DF21" s="36" t="str">
        <f t="shared" si="41"/>
        <v/>
      </c>
      <c r="DG21" s="36" t="str">
        <f t="shared" si="42"/>
        <v/>
      </c>
      <c r="DH21" s="36" t="str">
        <f t="shared" si="43"/>
        <v/>
      </c>
      <c r="DI21" s="36" t="str">
        <f t="shared" si="6"/>
        <v/>
      </c>
      <c r="DJ21" s="36" t="str">
        <f t="shared" si="44"/>
        <v/>
      </c>
      <c r="DL21" s="36" t="str">
        <f t="shared" si="7"/>
        <v/>
      </c>
      <c r="DM21" s="149" t="str">
        <f t="shared" si="45"/>
        <v/>
      </c>
      <c r="DN21" s="36" t="str">
        <f t="shared" si="46"/>
        <v/>
      </c>
      <c r="DO21" s="36" t="str">
        <f t="shared" si="47"/>
        <v/>
      </c>
      <c r="DP21" s="36" t="str">
        <f t="shared" si="48"/>
        <v/>
      </c>
      <c r="DR21" s="36" t="str">
        <f t="shared" si="49"/>
        <v/>
      </c>
      <c r="DS21" s="36" t="str">
        <f t="shared" si="50"/>
        <v/>
      </c>
      <c r="DT21" s="36" t="str">
        <f t="shared" si="51"/>
        <v/>
      </c>
      <c r="DV21" s="36" t="str">
        <f>DT14</f>
        <v/>
      </c>
      <c r="DX21" s="152" t="str">
        <f t="shared" si="52"/>
        <v/>
      </c>
      <c r="DY21" s="36" t="str">
        <f t="shared" si="53"/>
        <v/>
      </c>
      <c r="DZ21" s="36" t="str">
        <f t="shared" si="54"/>
        <v/>
      </c>
      <c r="EA21" s="36" t="str">
        <f t="shared" si="55"/>
        <v/>
      </c>
      <c r="EB21" s="173" t="str">
        <f t="shared" si="56"/>
        <v/>
      </c>
      <c r="ED21" s="122">
        <v>15</v>
      </c>
      <c r="EE21" s="36" t="str">
        <f t="shared" si="57"/>
        <v/>
      </c>
      <c r="EF21" s="36">
        <f t="shared" si="58"/>
        <v>0</v>
      </c>
      <c r="EG21" s="36" t="str">
        <f>IF(SUM($BH35:$BJ35)=2,$BH$2,"")</f>
        <v/>
      </c>
      <c r="EH21" s="36" t="str">
        <f t="shared" si="59"/>
        <v/>
      </c>
      <c r="EJ21" s="36">
        <f t="shared" si="60"/>
        <v>999</v>
      </c>
      <c r="EK21" s="36">
        <f t="shared" si="61"/>
        <v>999</v>
      </c>
      <c r="EL21" s="36" t="str">
        <f t="shared" si="62"/>
        <v/>
      </c>
      <c r="EM21" s="36">
        <f t="shared" si="63"/>
        <v>1</v>
      </c>
      <c r="EN21" s="36">
        <f t="shared" si="64"/>
        <v>1</v>
      </c>
      <c r="EQ21" s="36" t="str">
        <f t="shared" si="172"/>
        <v/>
      </c>
      <c r="ER21" s="36">
        <f t="shared" si="65"/>
        <v>0</v>
      </c>
      <c r="ES21" s="36">
        <f t="shared" si="66"/>
        <v>0</v>
      </c>
      <c r="ET21" s="149" t="str">
        <f t="shared" si="67"/>
        <v/>
      </c>
      <c r="EV21" s="36" t="str">
        <f>D35</f>
        <v/>
      </c>
      <c r="EW21" s="36" t="str">
        <f>E35</f>
        <v/>
      </c>
      <c r="EX21" s="36" t="str">
        <f>H35</f>
        <v/>
      </c>
      <c r="EY21" s="36" t="str">
        <f>K35</f>
        <v/>
      </c>
      <c r="EZ21" s="36" t="str">
        <f t="shared" si="68"/>
        <v/>
      </c>
      <c r="FB21" s="36" t="str">
        <f t="shared" si="69"/>
        <v/>
      </c>
      <c r="FC21" s="36" t="str">
        <f t="shared" si="70"/>
        <v/>
      </c>
      <c r="FD21" s="36" t="str">
        <f>IF(FB21="","",(INDEX($EW$7:$EW$21,FB21)))</f>
        <v/>
      </c>
      <c r="FE21" s="36" t="str">
        <f>IF(FB21="","",(INDEX($EX$7:$EX$21,FB21)))</f>
        <v/>
      </c>
      <c r="FF21" s="36" t="str">
        <f>IF(FB21="","",(INDEX($EY$7:$EY$21,FB21)))</f>
        <v/>
      </c>
      <c r="FG21" s="36" t="str">
        <f>IF(FB21="","",(INDEX($EZ$7:$EZ$21,FB21)))</f>
        <v/>
      </c>
      <c r="FI21" s="36" t="str">
        <f t="shared" si="75"/>
        <v/>
      </c>
      <c r="FJ21" s="36" t="str">
        <f t="shared" si="76"/>
        <v/>
      </c>
      <c r="FL21" s="36" t="str">
        <f t="shared" si="77"/>
        <v/>
      </c>
      <c r="FM21" s="36" t="str">
        <f t="shared" si="78"/>
        <v/>
      </c>
      <c r="FN21" s="36" t="str">
        <f t="shared" si="79"/>
        <v/>
      </c>
      <c r="FO21" s="36" t="str">
        <f t="shared" si="80"/>
        <v/>
      </c>
      <c r="FP21" s="36" t="str">
        <f t="shared" si="81"/>
        <v/>
      </c>
      <c r="FQ21" s="36" t="str">
        <f t="shared" si="82"/>
        <v/>
      </c>
      <c r="FR21" s="173" t="str">
        <f t="shared" si="8"/>
        <v/>
      </c>
      <c r="FT21" s="36">
        <v>15</v>
      </c>
      <c r="FV21" s="36" t="str">
        <f t="shared" si="83"/>
        <v/>
      </c>
      <c r="FW21" s="36" t="str">
        <f>IF(FT21=$FN$15,$FR$15,IF(FT21=$FN$16,$FR$16,IF(FT21=$FN$17,$FR$17,IF(FT21=$FN$18,$FR$18,IF(FT21=$FN$19,$FR$19,IF(FT21=$FN$20,$FR$20,IF(FT21=$FN$21,$FR$21,IF(FT21=$FN$22,$FR$22,""))))))))</f>
        <v/>
      </c>
      <c r="FX21" s="36" t="str">
        <f t="shared" si="85"/>
        <v/>
      </c>
      <c r="FZ21" s="36" t="str">
        <f>FX14</f>
        <v/>
      </c>
      <c r="GA21" s="152"/>
      <c r="GB21" s="122">
        <v>15</v>
      </c>
      <c r="GC21" s="36" t="str">
        <f>IF(D35="","",D35)</f>
        <v/>
      </c>
      <c r="GD21" s="36" t="str">
        <f>IF(E35="","",E35)</f>
        <v/>
      </c>
      <c r="GE21" s="36" t="str">
        <f>IF(H35="","",H35)</f>
        <v/>
      </c>
      <c r="GF21" s="36" t="str">
        <f>IF(K35="","",K35)</f>
        <v/>
      </c>
      <c r="GG21" s="36" t="str">
        <f>IF(N35="","",N35)</f>
        <v/>
      </c>
      <c r="GH21" s="36" t="str">
        <f>IF(Q35="","",Q35)</f>
        <v/>
      </c>
      <c r="GI21" s="36" t="str">
        <f>IF(T35="","",T35)</f>
        <v/>
      </c>
      <c r="GJ21" s="36" t="str">
        <f>IF(W35="","",W35)</f>
        <v/>
      </c>
      <c r="GK21" s="36" t="str">
        <f>IF(C35="","",C35)</f>
        <v/>
      </c>
      <c r="GM21" s="36" t="str">
        <f>IF(F35="","",F35)</f>
        <v/>
      </c>
      <c r="GN21" s="36" t="str">
        <f>IF(I35="","",I35)</f>
        <v/>
      </c>
      <c r="GO21" s="36" t="str">
        <f>IF(L35="","",L35)</f>
        <v/>
      </c>
      <c r="GP21" s="36" t="str">
        <f>IF(O35="","",O35)</f>
        <v/>
      </c>
      <c r="GQ21" s="36" t="str">
        <f>IF(R35="","",R35)</f>
        <v/>
      </c>
      <c r="GR21" s="36" t="str">
        <f>IF(U35="","",U35)</f>
        <v/>
      </c>
      <c r="GS21" s="36" t="str">
        <f>IF(X35="","",X35)</f>
        <v/>
      </c>
      <c r="GU21" s="36" t="str">
        <f>IF(F36="","",F36)</f>
        <v/>
      </c>
      <c r="GV21" s="36" t="str">
        <f>IF(I36="","",I36)</f>
        <v/>
      </c>
      <c r="GW21" s="36" t="str">
        <f>IF(L36="","",L36)</f>
        <v/>
      </c>
      <c r="GX21" s="36" t="str">
        <f>IF(O36="","",O36)</f>
        <v/>
      </c>
      <c r="GY21" s="36" t="str">
        <f>IF(R36="","",R36)</f>
        <v/>
      </c>
      <c r="GZ21" s="36" t="str">
        <f>IF(U36="","",U36)</f>
        <v/>
      </c>
      <c r="HA21" s="36" t="str">
        <f>IF(X36="","",X36)</f>
        <v/>
      </c>
      <c r="HB21" s="152"/>
      <c r="HC21" s="122">
        <v>15</v>
      </c>
      <c r="HD21" s="36" t="str">
        <f>IF(SUM($BH35:$BK35)&gt;=2,$BH$2,"")</f>
        <v/>
      </c>
      <c r="HE21" s="36" t="str">
        <f t="shared" si="86"/>
        <v/>
      </c>
      <c r="HF21" s="36" t="str">
        <f t="shared" si="87"/>
        <v/>
      </c>
      <c r="HG21" s="36" t="str">
        <f t="shared" si="88"/>
        <v/>
      </c>
      <c r="HH21" s="36" t="str">
        <f t="shared" si="89"/>
        <v/>
      </c>
      <c r="HI21" s="36" t="str">
        <f t="shared" si="90"/>
        <v/>
      </c>
      <c r="HK21" s="36" t="str">
        <f t="shared" si="91"/>
        <v/>
      </c>
      <c r="HM21" s="36">
        <f t="shared" si="92"/>
        <v>999</v>
      </c>
      <c r="HN21" s="36">
        <f t="shared" si="93"/>
        <v>999</v>
      </c>
      <c r="HO21" s="36" t="str">
        <f t="shared" si="9"/>
        <v/>
      </c>
      <c r="HQ21" s="36">
        <f t="shared" si="94"/>
        <v>1</v>
      </c>
      <c r="HR21" s="36">
        <f>IF(HQ21=HQ22,0,1)</f>
        <v>0</v>
      </c>
      <c r="HS21" s="36" t="str">
        <f t="shared" si="173"/>
        <v/>
      </c>
      <c r="HT21" s="36">
        <f t="shared" si="96"/>
        <v>0</v>
      </c>
      <c r="HU21" s="149" t="str">
        <f t="shared" si="97"/>
        <v/>
      </c>
      <c r="HV21" s="138"/>
      <c r="HW21" s="36" t="str">
        <f t="shared" si="98"/>
        <v/>
      </c>
      <c r="HX21" s="36" t="str">
        <f t="shared" si="99"/>
        <v/>
      </c>
      <c r="HY21" s="36" t="str">
        <f t="shared" si="100"/>
        <v/>
      </c>
      <c r="HZ21" s="36" t="str">
        <f t="shared" si="101"/>
        <v/>
      </c>
      <c r="IA21" s="36" t="str">
        <f t="shared" si="102"/>
        <v/>
      </c>
      <c r="IC21" s="36" t="str">
        <f t="shared" si="174"/>
        <v/>
      </c>
      <c r="ID21" s="36" t="str">
        <f>IF(HS21="","",(IF(HW21=HX21,$ID$6,IF(HW21=HY21,$ID$6,IF(HW21=HZ21,$ID$6,IF(HW21=IA21,$ID$6,""))))))</f>
        <v/>
      </c>
      <c r="IH21" s="149"/>
      <c r="II21" s="138"/>
      <c r="IN21" s="36" t="str">
        <f t="shared" si="111"/>
        <v/>
      </c>
      <c r="IP21" s="36" t="str">
        <f>IN14</f>
        <v/>
      </c>
      <c r="IQ21" s="152"/>
      <c r="IR21" s="122">
        <v>15</v>
      </c>
      <c r="IS21" s="36" t="str">
        <f>IF(SUM($BH35:$BL35)&gt;1,$BH$2,"")</f>
        <v/>
      </c>
      <c r="IT21" s="36" t="str">
        <f t="shared" si="112"/>
        <v/>
      </c>
      <c r="IU21" s="36" t="str">
        <f t="shared" si="113"/>
        <v/>
      </c>
      <c r="IV21" s="36" t="str">
        <f t="shared" si="114"/>
        <v/>
      </c>
      <c r="IW21" s="36" t="str">
        <f t="shared" si="115"/>
        <v/>
      </c>
      <c r="IX21" s="36" t="str">
        <f t="shared" si="116"/>
        <v/>
      </c>
      <c r="IY21" s="36" t="str">
        <f t="shared" si="117"/>
        <v/>
      </c>
      <c r="IZ21" s="36" t="str">
        <f t="shared" si="118"/>
        <v/>
      </c>
      <c r="JB21" s="36">
        <f t="shared" si="119"/>
        <v>999</v>
      </c>
      <c r="JC21" s="36">
        <f t="shared" si="120"/>
        <v>999</v>
      </c>
      <c r="JD21" s="36" t="str">
        <f t="shared" si="10"/>
        <v/>
      </c>
      <c r="JF21" s="36">
        <f t="shared" si="121"/>
        <v>1</v>
      </c>
      <c r="JG21" s="36">
        <f t="shared" si="122"/>
        <v>0</v>
      </c>
      <c r="JH21" s="36" t="str">
        <f t="shared" si="175"/>
        <v/>
      </c>
      <c r="JI21" s="36">
        <f t="shared" si="123"/>
        <v>0</v>
      </c>
      <c r="JJ21" s="149" t="str">
        <f t="shared" si="124"/>
        <v/>
      </c>
      <c r="JM21" s="36" t="str">
        <f>IF(JH21="","",(INDEX($GD$7:$GD$22,$JH21)))</f>
        <v/>
      </c>
      <c r="JN21" s="36" t="str">
        <f>IF(JH21="","",(INDEX($GE$7:$GE$22,$JH21)))</f>
        <v/>
      </c>
      <c r="JO21" s="36" t="str">
        <f>IF(JH21="","",(INDEX($GF$7:$GF$22,$JH21)))</f>
        <v/>
      </c>
      <c r="JP21" s="36" t="str">
        <f>IF(JH21="","",(INDEX($GG$7:$GG$22,$JH21)))</f>
        <v/>
      </c>
      <c r="JQ21" s="36" t="str">
        <f>IF(JH21="","",(INDEX($GH$7:$GH$22,$JH21)))</f>
        <v/>
      </c>
      <c r="JS21" s="36" t="str">
        <f t="shared" si="130"/>
        <v/>
      </c>
      <c r="JX21" s="149" t="str">
        <f t="shared" si="132"/>
        <v/>
      </c>
      <c r="JY21" s="138"/>
      <c r="KB21" s="36" t="str">
        <f t="shared" si="134"/>
        <v/>
      </c>
      <c r="KC21" s="36" t="str">
        <f t="shared" si="135"/>
        <v/>
      </c>
      <c r="KD21" s="36" t="str">
        <f t="shared" si="136"/>
        <v/>
      </c>
      <c r="KF21" s="36" t="str">
        <f>KD14</f>
        <v/>
      </c>
      <c r="KG21" s="152"/>
      <c r="KH21" s="122">
        <v>15</v>
      </c>
      <c r="KI21" t="str">
        <f>IF(SUM($BH35:$BM35)&gt;1,$BH$2,"")</f>
        <v/>
      </c>
      <c r="KJ21" s="36" t="str">
        <f t="shared" si="137"/>
        <v/>
      </c>
      <c r="KK21" s="36" t="str">
        <f t="shared" si="138"/>
        <v/>
      </c>
      <c r="KL21" s="36" t="str">
        <f t="shared" si="139"/>
        <v/>
      </c>
      <c r="KM21" s="36" t="str">
        <f t="shared" si="140"/>
        <v/>
      </c>
      <c r="KN21" s="36" t="str">
        <f t="shared" si="141"/>
        <v/>
      </c>
      <c r="KO21" s="36" t="str">
        <f t="shared" si="142"/>
        <v/>
      </c>
      <c r="KP21" s="36" t="str">
        <f t="shared" si="143"/>
        <v/>
      </c>
      <c r="KQ21" s="36" t="str">
        <f t="shared" si="144"/>
        <v/>
      </c>
      <c r="KS21" s="36">
        <f t="shared" si="145"/>
        <v>999</v>
      </c>
      <c r="KT21" s="36">
        <f t="shared" si="146"/>
        <v>999</v>
      </c>
      <c r="KU21" s="36" t="str">
        <f t="shared" si="12"/>
        <v/>
      </c>
      <c r="KW21" s="36">
        <f t="shared" si="147"/>
        <v>1</v>
      </c>
      <c r="KX21" s="36">
        <f>IF(KW21=KW22,0,1)</f>
        <v>0</v>
      </c>
      <c r="KY21" s="36" t="str">
        <f t="shared" si="178"/>
        <v/>
      </c>
      <c r="KZ21" s="36">
        <f t="shared" si="149"/>
        <v>0</v>
      </c>
      <c r="LA21" s="149" t="str">
        <f t="shared" si="150"/>
        <v/>
      </c>
      <c r="LC21" s="36" t="str">
        <f t="shared" si="151"/>
        <v/>
      </c>
      <c r="LD21" s="36" t="str">
        <f t="shared" si="152"/>
        <v/>
      </c>
      <c r="LE21" s="36" t="str">
        <f t="shared" si="153"/>
        <v/>
      </c>
      <c r="LF21" s="36" t="str">
        <f t="shared" si="154"/>
        <v/>
      </c>
      <c r="LG21" s="36" t="str">
        <f t="shared" si="155"/>
        <v/>
      </c>
      <c r="LH21" s="36" t="str">
        <f t="shared" si="156"/>
        <v/>
      </c>
      <c r="LI21" s="36" t="str">
        <f t="shared" si="157"/>
        <v/>
      </c>
      <c r="LJ21" s="36" t="str">
        <f t="shared" si="158"/>
        <v/>
      </c>
      <c r="LK21" s="36" t="str">
        <f t="shared" si="159"/>
        <v/>
      </c>
      <c r="LL21" s="36" t="str">
        <f>IF(KY21="","",(IF(LC21=$KY$7,$LA$7,IF(LC21=$KY$8,$LA$8,IF(LC21=$KY$9,$LA$9,IF(LC21=$KY$10,$LA$10,IF(LC21=$KY$11,$LA$11,IF(LC21=$KY$12,$LA$12,IF(LC21=$KY$13,$LA$13,IF(LC21=$KY$14,$LA$14,""))))))))))</f>
        <v/>
      </c>
      <c r="LM21" s="36" t="str">
        <f t="shared" si="161"/>
        <v/>
      </c>
      <c r="LN21" s="36" t="str">
        <f t="shared" si="162"/>
        <v/>
      </c>
      <c r="LO21" s="149" t="str">
        <f t="shared" si="163"/>
        <v/>
      </c>
      <c r="LP21" s="138"/>
      <c r="LQ21" s="36" t="str">
        <f t="shared" si="164"/>
        <v/>
      </c>
      <c r="LS21" s="36" t="str">
        <f t="shared" si="165"/>
        <v/>
      </c>
      <c r="LT21" s="36" t="str">
        <f t="shared" si="166"/>
        <v/>
      </c>
      <c r="LU21" s="36" t="str">
        <f t="shared" si="167"/>
        <v/>
      </c>
      <c r="LW21" s="36" t="str">
        <f>LU14</f>
        <v/>
      </c>
      <c r="LX21" s="152"/>
    </row>
    <row r="22" spans="1:336" ht="14.25" customHeight="1" thickBot="1" x14ac:dyDescent="0.3">
      <c r="A22" s="365"/>
      <c r="B22" s="360"/>
      <c r="C22" s="363"/>
      <c r="D22" s="362"/>
      <c r="E22" s="346"/>
      <c r="F22" s="29"/>
      <c r="G22" s="30"/>
      <c r="H22" s="334"/>
      <c r="I22" s="29"/>
      <c r="J22" s="30"/>
      <c r="K22" s="334"/>
      <c r="L22" s="29"/>
      <c r="M22" s="30"/>
      <c r="N22" s="334"/>
      <c r="O22" s="29"/>
      <c r="P22" s="30"/>
      <c r="Q22" s="334"/>
      <c r="R22" s="29"/>
      <c r="S22" s="30"/>
      <c r="T22" s="334"/>
      <c r="U22" s="29"/>
      <c r="V22" s="30"/>
      <c r="W22" s="337"/>
      <c r="X22" s="29"/>
      <c r="Y22" s="30"/>
      <c r="Z22" s="338"/>
      <c r="AA22" s="335"/>
      <c r="AB22" s="336"/>
      <c r="AC22" s="357"/>
      <c r="AD22" s="328"/>
      <c r="AE22" s="328"/>
      <c r="AG22" s="253">
        <v>16</v>
      </c>
      <c r="AH22" s="142" t="str">
        <f t="shared" si="13"/>
        <v/>
      </c>
      <c r="AI22" s="178"/>
      <c r="AJ22" s="83" t="str">
        <f>IF($K$5="","",(IF(EB22="",(IF(AH22="","",(IF(CX22=$BQ$2,$BQ$2,IF((AI22)="","",AI22))))),EB22)))</f>
        <v/>
      </c>
      <c r="AK22" s="143" t="str">
        <f>IF($K$5="","",(IF($H$5="","",(DM22))))</f>
        <v/>
      </c>
      <c r="AM22" s="142" t="str">
        <f t="shared" si="16"/>
        <v/>
      </c>
      <c r="AN22" s="83"/>
      <c r="AO22" s="83" t="str">
        <f t="shared" si="3"/>
        <v/>
      </c>
      <c r="AP22" s="143" t="str">
        <f>IF($N$5="","",(FM22))</f>
        <v/>
      </c>
      <c r="AR22" s="142"/>
      <c r="AS22" s="83"/>
      <c r="AT22" s="83"/>
      <c r="AU22" s="143"/>
      <c r="AW22" s="142"/>
      <c r="AX22" s="83"/>
      <c r="AY22" s="83"/>
      <c r="AZ22" s="143"/>
      <c r="BB22" s="142"/>
      <c r="BC22" s="83"/>
      <c r="BD22" s="83"/>
      <c r="BE22" s="143"/>
      <c r="BH22" s="36" t="str">
        <f>IF(E22=$BQ$2,"",(IF(A22="","",(IF(F22="","",(IF(F22&lt;2,1,0)))))))</f>
        <v/>
      </c>
      <c r="BI22" s="36" t="str">
        <f>IF(H22=$BQ$2,"",(IF(A22="","",(IF(I22="","",(IF(I22&lt;2,1,0)))))))</f>
        <v/>
      </c>
      <c r="BJ22" s="36" t="str">
        <f>IF(K22=$BQ$2,"",(IF(A22="","",(IF(L22="","",(IF(L22&lt;2,1,0)))))))</f>
        <v/>
      </c>
      <c r="BK22" s="36" t="str">
        <f>IF(W22=$BQ$2,"",(IF(A22="","",(IF(X22="","",(IF(X22&lt;2,1,0)))))))</f>
        <v/>
      </c>
      <c r="BP22" s="36" t="str">
        <f>IF(BH22="","",(SUM(BH22:BK22)))</f>
        <v/>
      </c>
      <c r="BR22" s="83" t="str">
        <f>BP37</f>
        <v/>
      </c>
      <c r="BS22" s="83" t="str">
        <f>D37</f>
        <v/>
      </c>
      <c r="BT22" s="36" t="str">
        <f>IF(SUM(BH37,BI37)=2,$BH$2,"")</f>
        <v/>
      </c>
      <c r="BV22" s="36">
        <f t="shared" si="5"/>
        <v>999</v>
      </c>
      <c r="BW22" s="36">
        <f t="shared" si="25"/>
        <v>999</v>
      </c>
      <c r="BX22" s="36">
        <f t="shared" si="168"/>
        <v>16</v>
      </c>
      <c r="BY22" s="36">
        <f t="shared" si="26"/>
        <v>999</v>
      </c>
      <c r="CB22" s="123">
        <v>16</v>
      </c>
      <c r="CC22" s="36">
        <f>IF(D37="",0,D37)</f>
        <v>0</v>
      </c>
      <c r="CD22" s="36">
        <f t="shared" si="27"/>
        <v>0</v>
      </c>
      <c r="CE22" s="36">
        <f t="shared" si="28"/>
        <v>0</v>
      </c>
      <c r="CH22" s="36">
        <f t="shared" si="169"/>
        <v>0</v>
      </c>
      <c r="CI22" s="36">
        <f t="shared" si="29"/>
        <v>0</v>
      </c>
      <c r="CJ22" s="36">
        <f t="shared" si="30"/>
        <v>0</v>
      </c>
      <c r="CM22" s="36">
        <f t="shared" si="170"/>
        <v>0</v>
      </c>
      <c r="CO22" s="36">
        <f t="shared" si="31"/>
        <v>0</v>
      </c>
      <c r="CP22" s="36" t="str">
        <f t="shared" si="32"/>
        <v/>
      </c>
      <c r="CQ22" s="36">
        <f t="shared" si="33"/>
        <v>999</v>
      </c>
      <c r="CR22" s="36">
        <f t="shared" si="34"/>
        <v>16</v>
      </c>
      <c r="CS22" s="36">
        <f t="shared" si="35"/>
        <v>16</v>
      </c>
      <c r="CT22" s="36">
        <f t="shared" si="36"/>
        <v>999</v>
      </c>
      <c r="CU22" s="36" t="str">
        <f t="shared" si="37"/>
        <v/>
      </c>
      <c r="CV22" s="36">
        <f t="shared" si="38"/>
        <v>0</v>
      </c>
      <c r="CW22" s="36">
        <f t="shared" si="39"/>
        <v>0</v>
      </c>
      <c r="CX22" s="149" t="str">
        <f t="shared" si="171"/>
        <v/>
      </c>
      <c r="DA22" s="36" t="str">
        <f>D37</f>
        <v/>
      </c>
      <c r="DB22" s="36" t="str">
        <f>E37</f>
        <v/>
      </c>
      <c r="DC22" s="36" t="str">
        <f>H37</f>
        <v/>
      </c>
      <c r="DD22" s="36" t="str">
        <f t="shared" si="40"/>
        <v/>
      </c>
      <c r="DF22" s="36" t="str">
        <f t="shared" si="41"/>
        <v/>
      </c>
      <c r="DG22" s="36" t="str">
        <f t="shared" si="42"/>
        <v/>
      </c>
      <c r="DH22" s="36" t="str">
        <f t="shared" si="43"/>
        <v/>
      </c>
      <c r="DI22" s="36" t="str">
        <f t="shared" si="6"/>
        <v/>
      </c>
      <c r="DJ22" s="36" t="str">
        <f t="shared" si="44"/>
        <v/>
      </c>
      <c r="DL22" s="36" t="str">
        <f t="shared" si="7"/>
        <v/>
      </c>
      <c r="DM22" s="149" t="str">
        <f t="shared" si="45"/>
        <v/>
      </c>
      <c r="DN22" s="36" t="str">
        <f t="shared" si="46"/>
        <v/>
      </c>
      <c r="DO22" s="36" t="str">
        <f t="shared" si="47"/>
        <v/>
      </c>
      <c r="DP22" s="36" t="str">
        <f t="shared" si="48"/>
        <v/>
      </c>
      <c r="DR22" s="36" t="str">
        <f t="shared" si="49"/>
        <v/>
      </c>
      <c r="DS22" s="36" t="str">
        <f t="shared" si="50"/>
        <v/>
      </c>
      <c r="DT22" s="36" t="str">
        <f t="shared" si="51"/>
        <v/>
      </c>
      <c r="DX22" s="175" t="str">
        <f t="shared" si="52"/>
        <v/>
      </c>
      <c r="DY22" s="83" t="str">
        <f t="shared" si="53"/>
        <v/>
      </c>
      <c r="DZ22" s="36" t="str">
        <f t="shared" si="54"/>
        <v/>
      </c>
      <c r="EA22" s="36" t="str">
        <f t="shared" si="55"/>
        <v/>
      </c>
      <c r="EB22" s="174" t="str">
        <f t="shared" si="56"/>
        <v/>
      </c>
      <c r="ED22" s="123">
        <v>16</v>
      </c>
      <c r="EE22" s="36" t="str">
        <f t="shared" si="57"/>
        <v/>
      </c>
      <c r="EF22" s="36">
        <f t="shared" si="58"/>
        <v>0</v>
      </c>
      <c r="EG22" s="36" t="str">
        <f>IF(SUM(BH37:BJ37)=2,$BH$2,"")</f>
        <v/>
      </c>
      <c r="EH22" s="36" t="str">
        <f t="shared" si="59"/>
        <v/>
      </c>
      <c r="EJ22" s="36">
        <f t="shared" si="60"/>
        <v>999</v>
      </c>
      <c r="EK22" s="36">
        <f t="shared" si="61"/>
        <v>999</v>
      </c>
      <c r="EL22" s="36" t="str">
        <f t="shared" si="62"/>
        <v/>
      </c>
      <c r="EM22" s="36">
        <f t="shared" si="63"/>
        <v>0</v>
      </c>
      <c r="EN22" s="36">
        <f t="shared" si="64"/>
        <v>0</v>
      </c>
      <c r="EQ22" s="36" t="str">
        <f t="shared" si="172"/>
        <v/>
      </c>
      <c r="ER22" s="36">
        <f t="shared" si="65"/>
        <v>0</v>
      </c>
      <c r="ES22" s="36">
        <f t="shared" si="66"/>
        <v>0</v>
      </c>
      <c r="ET22" s="149" t="str">
        <f t="shared" si="67"/>
        <v/>
      </c>
      <c r="EV22" s="36" t="str">
        <f>D37</f>
        <v/>
      </c>
      <c r="EW22" s="36" t="str">
        <f>E37</f>
        <v/>
      </c>
      <c r="EX22" s="36" t="str">
        <f>H37</f>
        <v/>
      </c>
      <c r="EY22" s="36" t="str">
        <f>K37</f>
        <v/>
      </c>
      <c r="EZ22" s="36" t="str">
        <f t="shared" si="68"/>
        <v/>
      </c>
      <c r="FB22" s="36" t="str">
        <f t="shared" si="69"/>
        <v/>
      </c>
      <c r="FC22" s="36" t="str">
        <f t="shared" si="70"/>
        <v/>
      </c>
      <c r="FD22" s="36" t="str">
        <f>IF(FB22="","",(INDEX($EW$7:$EW$21,FB22)))</f>
        <v/>
      </c>
      <c r="FE22" s="36" t="str">
        <f>IF(FB22="","",(INDEX($EX$7:$EX$21,FB22)))</f>
        <v/>
      </c>
      <c r="FF22" s="36" t="str">
        <f>IF(FB22="","",(INDEX($EY$7:$EY$21,FB22)))</f>
        <v/>
      </c>
      <c r="FI22" s="36" t="str">
        <f t="shared" si="75"/>
        <v/>
      </c>
      <c r="FJ22" s="36" t="str">
        <f t="shared" si="76"/>
        <v/>
      </c>
      <c r="FL22" s="36" t="str">
        <f t="shared" si="77"/>
        <v/>
      </c>
      <c r="FM22" s="36" t="str">
        <f t="shared" si="78"/>
        <v/>
      </c>
      <c r="FN22" s="36" t="str">
        <f t="shared" si="79"/>
        <v/>
      </c>
      <c r="FO22" s="36" t="str">
        <f t="shared" si="80"/>
        <v/>
      </c>
      <c r="FP22" s="36" t="str">
        <f t="shared" si="81"/>
        <v/>
      </c>
      <c r="FQ22" s="36" t="str">
        <f t="shared" si="82"/>
        <v/>
      </c>
      <c r="FR22" s="173" t="str">
        <f t="shared" si="8"/>
        <v/>
      </c>
      <c r="FT22" s="36">
        <v>16</v>
      </c>
      <c r="FV22" s="36" t="str">
        <f t="shared" si="83"/>
        <v/>
      </c>
      <c r="FW22" s="36" t="str">
        <f t="shared" si="84"/>
        <v/>
      </c>
      <c r="FX22" s="36" t="str">
        <f t="shared" si="85"/>
        <v/>
      </c>
      <c r="GA22" s="152"/>
      <c r="GB22" s="122">
        <v>16</v>
      </c>
      <c r="GC22" s="36" t="str">
        <f>IF(D37="","",D37)</f>
        <v/>
      </c>
      <c r="GD22" s="36" t="str">
        <f>IF(E37="","",E37)</f>
        <v/>
      </c>
      <c r="GE22" s="36" t="str">
        <f>IF(H37="","",H37)</f>
        <v/>
      </c>
      <c r="GF22" s="36" t="str">
        <f>IF(K37="","",K37)</f>
        <v/>
      </c>
      <c r="GG22" s="36" t="str">
        <f>IF(N37="","",N37)</f>
        <v/>
      </c>
      <c r="GH22" s="36" t="str">
        <f>IF(Q37="","",Q37)</f>
        <v/>
      </c>
      <c r="GI22" s="36" t="str">
        <f>IF(T37="","",T37)</f>
        <v/>
      </c>
      <c r="GJ22" s="36" t="str">
        <f>IF(W37="","",W37)</f>
        <v/>
      </c>
      <c r="GK22" s="36" t="str">
        <f>IF(C37="","",C37)</f>
        <v/>
      </c>
      <c r="GM22" s="36" t="str">
        <f>IF(F37="","",F37)</f>
        <v/>
      </c>
      <c r="GN22" s="36" t="str">
        <f>IF(I37="","",I37)</f>
        <v/>
      </c>
      <c r="GO22" s="36" t="str">
        <f>IF(L37="","",L37)</f>
        <v/>
      </c>
      <c r="GP22" s="36" t="str">
        <f>IF(O37="","",O37)</f>
        <v/>
      </c>
      <c r="GQ22" s="36" t="str">
        <f>IF(R37="","",R37)</f>
        <v/>
      </c>
      <c r="GR22" s="36" t="str">
        <f>IF(U37="","",U37)</f>
        <v/>
      </c>
      <c r="GS22" s="36" t="str">
        <f>IF(X37="","",X37)</f>
        <v/>
      </c>
      <c r="GU22" s="36" t="str">
        <f>IF(F38="","",F38)</f>
        <v/>
      </c>
      <c r="GV22" s="36" t="str">
        <f>IF(I38="","",I38)</f>
        <v/>
      </c>
      <c r="GW22" s="36" t="str">
        <f>IF(L38="","",L38)</f>
        <v/>
      </c>
      <c r="GX22" s="36" t="str">
        <f>IF(O38="","",O38)</f>
        <v/>
      </c>
      <c r="GY22" s="36" t="str">
        <f>IF(R38="","",R38)</f>
        <v/>
      </c>
      <c r="GZ22" s="36" t="str">
        <f>IF(U38="","",U38)</f>
        <v/>
      </c>
      <c r="HA22" s="181" t="str">
        <f>IF(X38="","",X38)</f>
        <v/>
      </c>
      <c r="HB22" s="152"/>
      <c r="HC22" s="122">
        <v>16</v>
      </c>
      <c r="HD22" s="36" t="str">
        <f>IF(SUM(EP37:ER37)&gt;=2,$BH$2,"")</f>
        <v/>
      </c>
      <c r="HE22" s="36" t="str">
        <f t="shared" si="86"/>
        <v/>
      </c>
      <c r="HF22" s="36" t="str">
        <f t="shared" si="87"/>
        <v/>
      </c>
      <c r="HG22" s="36" t="str">
        <f t="shared" si="88"/>
        <v/>
      </c>
      <c r="HH22" s="36" t="str">
        <f t="shared" si="89"/>
        <v/>
      </c>
      <c r="HI22" s="36" t="str">
        <f t="shared" si="90"/>
        <v/>
      </c>
      <c r="HK22" s="36" t="str">
        <f t="shared" si="91"/>
        <v/>
      </c>
      <c r="HM22" s="36">
        <f t="shared" si="92"/>
        <v>999</v>
      </c>
      <c r="HN22" s="36">
        <f t="shared" si="93"/>
        <v>999</v>
      </c>
      <c r="HO22" s="36" t="str">
        <f t="shared" si="9"/>
        <v/>
      </c>
      <c r="HQ22" s="36">
        <f t="shared" si="94"/>
        <v>1</v>
      </c>
      <c r="HR22" s="36">
        <f t="shared" si="95"/>
        <v>0</v>
      </c>
      <c r="HS22" s="36" t="str">
        <f t="shared" si="173"/>
        <v/>
      </c>
      <c r="HT22" s="36">
        <f t="shared" si="96"/>
        <v>0</v>
      </c>
      <c r="HU22" s="149" t="str">
        <f t="shared" si="97"/>
        <v/>
      </c>
      <c r="HV22" s="138"/>
      <c r="HW22" s="36" t="str">
        <f t="shared" si="98"/>
        <v/>
      </c>
      <c r="HX22" s="36" t="str">
        <f t="shared" si="99"/>
        <v/>
      </c>
      <c r="HY22" s="36" t="str">
        <f t="shared" si="100"/>
        <v/>
      </c>
      <c r="HZ22" s="36" t="str">
        <f t="shared" si="101"/>
        <v/>
      </c>
      <c r="IA22" s="36" t="str">
        <f t="shared" si="102"/>
        <v/>
      </c>
      <c r="IC22" s="36" t="str">
        <f t="shared" si="174"/>
        <v/>
      </c>
      <c r="ID22" s="36" t="str">
        <f>IF(HS22="","",(IF(HW22=HX22,$ID$6,IF(HW22=HY22,$ID$6,IF(HW22=HZ22,$ID$6,IF(HW22=IA22,$ID$6,""))))))</f>
        <v/>
      </c>
      <c r="IH22" s="149"/>
      <c r="II22" s="138"/>
      <c r="IN22" s="36" t="str">
        <f t="shared" si="111"/>
        <v/>
      </c>
      <c r="IQ22" s="152"/>
      <c r="IR22" s="122">
        <v>16</v>
      </c>
      <c r="IS22" s="36" t="str">
        <f>IF(SUM($BH37:$BL37)&gt;1,$BH$2,"")</f>
        <v/>
      </c>
      <c r="IT22" s="36" t="str">
        <f t="shared" si="112"/>
        <v/>
      </c>
      <c r="IU22" s="36" t="str">
        <f t="shared" si="113"/>
        <v/>
      </c>
      <c r="IV22" s="36" t="str">
        <f t="shared" si="114"/>
        <v/>
      </c>
      <c r="IW22" s="36" t="str">
        <f t="shared" si="115"/>
        <v/>
      </c>
      <c r="IX22" s="36" t="str">
        <f t="shared" si="116"/>
        <v/>
      </c>
      <c r="IY22" s="36" t="str">
        <f t="shared" si="117"/>
        <v/>
      </c>
      <c r="IZ22" s="36" t="str">
        <f t="shared" si="118"/>
        <v/>
      </c>
      <c r="JB22" s="36">
        <f t="shared" si="119"/>
        <v>999</v>
      </c>
      <c r="JC22" s="36">
        <f t="shared" si="120"/>
        <v>999</v>
      </c>
      <c r="JD22" s="36" t="str">
        <f t="shared" si="10"/>
        <v/>
      </c>
      <c r="JF22" s="36">
        <f>VALUE(IF(JC22=JC23,1,0))</f>
        <v>1</v>
      </c>
      <c r="JG22" s="36">
        <f>IF(JF22=JF23,0,1)</f>
        <v>0</v>
      </c>
      <c r="JH22" s="36" t="str">
        <f t="shared" si="175"/>
        <v/>
      </c>
      <c r="JI22" s="36">
        <f t="shared" si="123"/>
        <v>0</v>
      </c>
      <c r="JJ22" s="149" t="str">
        <f t="shared" si="124"/>
        <v/>
      </c>
      <c r="JM22" s="36" t="str">
        <f>IF(JH22="","",(INDEX($GD$7:$GD$22,$JH22)))</f>
        <v/>
      </c>
      <c r="JN22" s="36" t="str">
        <f>IF(JH22="","",(INDEX($GE$7:$GE$22,$JH22)))</f>
        <v/>
      </c>
      <c r="JO22" s="36" t="str">
        <f>IF(JH22="","",(INDEX($GF$7:$GF$22,$JH22)))</f>
        <v/>
      </c>
      <c r="JP22" s="36" t="str">
        <f>IF(JH22="","",(INDEX($GG$7:$GG$22,$JH22)))</f>
        <v/>
      </c>
      <c r="JQ22" s="36" t="str">
        <f>IF(JH22="","",(INDEX($GH$7:$GH$22,$JH22)))</f>
        <v/>
      </c>
      <c r="JS22" s="36" t="str">
        <f t="shared" si="130"/>
        <v/>
      </c>
      <c r="JX22" s="149"/>
      <c r="JY22" s="142"/>
      <c r="JZ22" s="83"/>
      <c r="KA22" s="83"/>
      <c r="KB22" s="83"/>
      <c r="KC22" s="83" t="str">
        <f t="shared" si="135"/>
        <v/>
      </c>
      <c r="KD22" s="36" t="str">
        <f t="shared" si="136"/>
        <v/>
      </c>
      <c r="KE22" s="83"/>
      <c r="KG22" s="152"/>
      <c r="KH22" s="122">
        <v>16</v>
      </c>
      <c r="KI22" t="str">
        <f>IF(SUM($BH37:$BM37)&gt;1,$BH$2,"")</f>
        <v/>
      </c>
      <c r="KJ22" s="36" t="str">
        <f t="shared" si="137"/>
        <v/>
      </c>
      <c r="KK22" s="36" t="str">
        <f t="shared" si="138"/>
        <v/>
      </c>
      <c r="KL22" s="36" t="str">
        <f t="shared" si="139"/>
        <v/>
      </c>
      <c r="KM22" s="36" t="str">
        <f t="shared" si="140"/>
        <v/>
      </c>
      <c r="KN22" s="36" t="str">
        <f t="shared" si="141"/>
        <v/>
      </c>
      <c r="KO22" s="36" t="str">
        <f t="shared" si="142"/>
        <v/>
      </c>
      <c r="KP22" s="36" t="str">
        <f t="shared" si="143"/>
        <v/>
      </c>
      <c r="KQ22" s="36" t="str">
        <f t="shared" si="144"/>
        <v/>
      </c>
      <c r="KS22" s="36">
        <f t="shared" si="145"/>
        <v>999</v>
      </c>
      <c r="KT22" s="36">
        <f t="shared" si="146"/>
        <v>999</v>
      </c>
      <c r="KU22" s="36" t="str">
        <f t="shared" si="12"/>
        <v/>
      </c>
      <c r="KW22" s="36">
        <f>VALUE(IF(KT22=KT23,1,0))</f>
        <v>1</v>
      </c>
      <c r="KX22" s="36">
        <f>IF(KW22=KW23,0,1)</f>
        <v>0</v>
      </c>
      <c r="KY22" s="36" t="str">
        <f t="shared" si="178"/>
        <v/>
      </c>
      <c r="KZ22" s="36">
        <f t="shared" si="149"/>
        <v>0</v>
      </c>
      <c r="LA22" s="149" t="str">
        <f t="shared" si="150"/>
        <v/>
      </c>
      <c r="LC22" s="36" t="str">
        <f t="shared" si="151"/>
        <v/>
      </c>
      <c r="LD22" s="36" t="str">
        <f t="shared" si="152"/>
        <v/>
      </c>
      <c r="LE22" s="36" t="str">
        <f t="shared" si="153"/>
        <v/>
      </c>
      <c r="LF22" s="36" t="str">
        <f t="shared" si="154"/>
        <v/>
      </c>
      <c r="LG22" s="36" t="str">
        <f t="shared" si="155"/>
        <v/>
      </c>
      <c r="LH22" s="36" t="str">
        <f t="shared" si="156"/>
        <v/>
      </c>
      <c r="LI22" s="36" t="str">
        <f t="shared" si="157"/>
        <v/>
      </c>
      <c r="LJ22" s="36" t="str">
        <f t="shared" si="158"/>
        <v/>
      </c>
      <c r="LK22" s="36" t="str">
        <f t="shared" si="159"/>
        <v/>
      </c>
      <c r="LL22" s="36" t="str">
        <f>IF(KY22="","",(IF(LC22=$KY$7,$LA$7,IF(LC22=$KY$8,$LA$8,IF(LC22=$KY$9,$LA$9,IF(LC22=$KY$10,$LA$10,IF(LC22=$KY$11,$LA$11,IF(LC22=$KY$12,$LA$12,IF(LC22=$KY$13,$LA$13,IF(LC22=$KY$14,$LA$14,""))))))))))</f>
        <v/>
      </c>
      <c r="LM22" s="36" t="str">
        <f t="shared" si="161"/>
        <v/>
      </c>
      <c r="LN22" s="36" t="str">
        <f t="shared" si="162"/>
        <v/>
      </c>
      <c r="LO22" s="149" t="str">
        <f t="shared" si="163"/>
        <v/>
      </c>
      <c r="LP22" s="138"/>
      <c r="LQ22" s="36" t="str">
        <f t="shared" si="164"/>
        <v/>
      </c>
      <c r="LS22" s="36" t="str">
        <f t="shared" si="165"/>
        <v/>
      </c>
      <c r="LT22" s="36" t="str">
        <f t="shared" si="166"/>
        <v/>
      </c>
      <c r="LU22" s="36" t="str">
        <f t="shared" si="167"/>
        <v/>
      </c>
      <c r="LX22" s="152"/>
    </row>
    <row r="23" spans="1:336" ht="14.25" hidden="1" customHeight="1" thickBot="1" x14ac:dyDescent="0.3">
      <c r="A23" s="364" t="str">
        <f>'Vážní listina'!HQ23</f>
        <v/>
      </c>
      <c r="B23" s="359" t="str">
        <f>'Vážní listina'!HR23</f>
        <v/>
      </c>
      <c r="C23" s="363" t="str">
        <f>IF(BP23="","",(IF(BP23&gt;1,$BH$2,"")))</f>
        <v/>
      </c>
      <c r="D23" s="361" t="str">
        <f>'Vážní listina'!HK23</f>
        <v/>
      </c>
      <c r="E23" s="343" t="str">
        <f>'Vážní listina'!HL23</f>
        <v/>
      </c>
      <c r="F23" s="26"/>
      <c r="G23" s="33"/>
      <c r="H23" s="343" t="str">
        <f>IF(H5="","",'Vážní listina'!HM23)</f>
        <v/>
      </c>
      <c r="I23" s="26"/>
      <c r="J23" s="33"/>
      <c r="K23" s="334" t="str">
        <f>IF(K5="","",DV23)</f>
        <v/>
      </c>
      <c r="L23" s="26"/>
      <c r="M23" s="33"/>
      <c r="N23" s="334" t="str">
        <f>IF(N5="","",FZ23)</f>
        <v/>
      </c>
      <c r="O23" s="26"/>
      <c r="P23" s="33"/>
      <c r="Q23" s="334" t="str">
        <f>IF(Q5="","",IP23)</f>
        <v/>
      </c>
      <c r="R23" s="26"/>
      <c r="S23" s="33"/>
      <c r="T23" s="334" t="str">
        <f>IF(T5="","",KF23)</f>
        <v/>
      </c>
      <c r="U23" s="26"/>
      <c r="V23" s="33"/>
      <c r="W23" s="337" t="str">
        <f>IF(W5="","",LW23)</f>
        <v/>
      </c>
      <c r="X23" s="26"/>
      <c r="Y23" s="33"/>
      <c r="Z23" s="338" t="str">
        <f>IF(A23="","",(F23+I23+L23+O23+R23+U23+X23))</f>
        <v/>
      </c>
      <c r="AA23" s="335" t="str">
        <f>IF(A23="","",(F24+I24+L24+O24+R24+U24+X24))</f>
        <v/>
      </c>
      <c r="AB23" s="336" t="str">
        <f>IF(A23="","",(G23+J23+M23+P23+S23+V23+Y23))</f>
        <v/>
      </c>
      <c r="AC23" s="356" t="str">
        <f>HF96</f>
        <v/>
      </c>
      <c r="AD23" s="329"/>
      <c r="AE23" s="328" t="str">
        <f>IF(D23="","",(IF('Tabulka finále'!$BK$47=1,(IF('Tabulka finále'!$K$56="","",(IF($AC$5="","",(IF($H$5="","",(FW134))))))),"")))</f>
        <v/>
      </c>
      <c r="AG23" s="53"/>
      <c r="AH23" s="85"/>
      <c r="AJ23" s="85"/>
      <c r="AK23" s="85"/>
      <c r="AM23" s="85"/>
      <c r="AO23" s="85"/>
      <c r="AP23" s="85"/>
      <c r="AR23" s="85"/>
      <c r="AS23" s="85"/>
      <c r="AT23" s="85"/>
      <c r="AU23" s="85"/>
      <c r="BG23" s="36">
        <f>IF(A23="",0,1)</f>
        <v>0</v>
      </c>
      <c r="BH23" s="36" t="str">
        <f>(IF(E23="","",(IF(E23=$BQ$2,0,(IF(A23="","",(IF(F23="","",(IF(F23&lt;2,1,0))))))))))</f>
        <v/>
      </c>
      <c r="BI23" s="36" t="str">
        <f>IF(H23=$BQ$2,0,(IF(A23="","",(IF(I23="","",(IF(I23&lt;2,1,0)))))))</f>
        <v/>
      </c>
      <c r="BJ23" s="36" t="str">
        <f>IF(L23="","",(IF(L23&lt;2,1,0)))</f>
        <v/>
      </c>
      <c r="BK23" s="36" t="str">
        <f>IF(O23="","",(IF(O23&lt;2,1,0)))</f>
        <v/>
      </c>
      <c r="BL23" s="36" t="str">
        <f>IF(R23="","",(IF(R23&lt;2,1,0)))</f>
        <v/>
      </c>
      <c r="BM23" s="36" t="str">
        <f>IF(U23="","",(IF(U23&lt;2,1,0)))</f>
        <v/>
      </c>
      <c r="BN23" s="36" t="str">
        <f>IF(X23="","",(IF(X23&lt;2,1,0)))</f>
        <v/>
      </c>
      <c r="BP23" s="36" t="str">
        <f>IF(BG23=0,"",(SUM(BH23:BN23)))</f>
        <v/>
      </c>
      <c r="BS23" s="85"/>
      <c r="BT23" s="85"/>
      <c r="BV23" s="36">
        <f t="shared" si="5"/>
        <v>999</v>
      </c>
      <c r="BW23" s="36">
        <f t="shared" si="25"/>
        <v>999</v>
      </c>
      <c r="BX23" s="36">
        <f t="shared" si="168"/>
        <v>17</v>
      </c>
      <c r="BY23" s="36">
        <f t="shared" si="26"/>
        <v>999</v>
      </c>
      <c r="DV23" s="36" t="str">
        <f>DT15</f>
        <v/>
      </c>
      <c r="DX23" s="85"/>
      <c r="DY23" s="85"/>
      <c r="DZ23" s="85"/>
      <c r="EA23" s="85"/>
      <c r="EB23" s="85"/>
      <c r="FZ23" s="36" t="str">
        <f>FX15</f>
        <v/>
      </c>
      <c r="GA23" s="152"/>
      <c r="GB23" s="85"/>
      <c r="GC23" s="85"/>
      <c r="GD23" s="85"/>
      <c r="GE23" s="85"/>
      <c r="GF23" s="85"/>
      <c r="GG23" s="85"/>
      <c r="GH23" s="85"/>
      <c r="GI23" s="85"/>
      <c r="GJ23" s="85"/>
      <c r="GK23" s="85"/>
      <c r="GL23" s="85"/>
      <c r="GM23" s="85"/>
      <c r="GN23" s="85"/>
      <c r="GO23" s="85"/>
      <c r="GP23" s="85"/>
      <c r="GQ23" s="85"/>
      <c r="GR23" s="85"/>
      <c r="GS23" s="85"/>
      <c r="GT23" s="85"/>
      <c r="GU23" s="85"/>
      <c r="GV23" s="85"/>
      <c r="GW23" s="85"/>
      <c r="GX23" s="85"/>
      <c r="GY23" s="85"/>
      <c r="GZ23" s="85"/>
      <c r="HA23" s="182"/>
      <c r="HB23" s="152"/>
      <c r="HN23" s="36">
        <f>$BK$2</f>
        <v>999</v>
      </c>
      <c r="HQ23" s="36">
        <f t="shared" si="94"/>
        <v>1</v>
      </c>
      <c r="HS23" s="36" t="str">
        <f>IF(HQ22=1,"",(IF($HQ$6=1,HO22,HO23)))</f>
        <v/>
      </c>
      <c r="HT23" s="36">
        <f t="shared" si="96"/>
        <v>0</v>
      </c>
      <c r="HU23" s="149"/>
      <c r="HV23" s="138"/>
      <c r="IH23" s="149"/>
      <c r="II23" s="140"/>
      <c r="IJ23" s="85"/>
      <c r="IK23" s="85"/>
      <c r="IL23" s="85"/>
      <c r="IM23" s="85"/>
      <c r="IN23" s="85"/>
      <c r="IO23" s="85"/>
      <c r="IP23" s="36" t="str">
        <f>IN15</f>
        <v/>
      </c>
      <c r="IQ23" s="152"/>
      <c r="JC23" s="36">
        <f>JC22</f>
        <v>999</v>
      </c>
      <c r="JD23" s="36" t="str">
        <f t="shared" si="10"/>
        <v/>
      </c>
      <c r="JF23" s="36">
        <f>VALUE(IF(JC23=JC24,1,0))</f>
        <v>1</v>
      </c>
      <c r="JJ23" s="149"/>
      <c r="JS23" s="36" t="str">
        <f t="shared" si="130"/>
        <v/>
      </c>
      <c r="JX23" s="149"/>
      <c r="JY23" s="140"/>
      <c r="JZ23" s="85"/>
      <c r="KA23" s="85"/>
      <c r="KB23" s="85"/>
      <c r="KC23" s="85"/>
      <c r="KD23" s="85"/>
      <c r="KE23" s="85"/>
      <c r="KF23" s="36" t="str">
        <f>KD15</f>
        <v/>
      </c>
      <c r="KG23" s="152"/>
      <c r="KT23" s="36">
        <f>KT22</f>
        <v>999</v>
      </c>
      <c r="KW23" s="36">
        <f>VALUE(IF(KT23=KT24,1,0))</f>
        <v>1</v>
      </c>
      <c r="LA23" s="149"/>
      <c r="LO23" s="149"/>
      <c r="LP23" s="138"/>
      <c r="LW23" s="36" t="str">
        <f>LU15</f>
        <v/>
      </c>
      <c r="LX23" s="152"/>
    </row>
    <row r="24" spans="1:336" ht="14.25" hidden="1" customHeight="1" thickBot="1" x14ac:dyDescent="0.3">
      <c r="A24" s="365"/>
      <c r="B24" s="360"/>
      <c r="C24" s="363"/>
      <c r="D24" s="362"/>
      <c r="E24" s="346"/>
      <c r="F24" s="29"/>
      <c r="G24" s="30"/>
      <c r="H24" s="346"/>
      <c r="I24" s="29"/>
      <c r="J24" s="30"/>
      <c r="K24" s="334"/>
      <c r="L24" s="29"/>
      <c r="M24" s="30"/>
      <c r="N24" s="334"/>
      <c r="O24" s="29"/>
      <c r="P24" s="30"/>
      <c r="Q24" s="334"/>
      <c r="R24" s="29"/>
      <c r="S24" s="30"/>
      <c r="T24" s="334"/>
      <c r="U24" s="29"/>
      <c r="V24" s="30"/>
      <c r="W24" s="337"/>
      <c r="X24" s="29"/>
      <c r="Y24" s="30"/>
      <c r="Z24" s="338"/>
      <c r="AA24" s="335"/>
      <c r="AB24" s="336"/>
      <c r="AC24" s="357"/>
      <c r="AD24" s="327"/>
      <c r="AE24" s="328"/>
      <c r="AG24" s="53"/>
      <c r="BH24" s="36" t="str">
        <f>IF(E24=$BQ$2,"",(IF(A24="","",(IF(F24="","",(IF(F24&lt;2,1,0)))))))</f>
        <v/>
      </c>
      <c r="BI24" s="36" t="str">
        <f>IF(H24=$BQ$2,"",(IF(A24="","",(IF(I24="","",(IF(I24&lt;2,1,0)))))))</f>
        <v/>
      </c>
      <c r="BJ24" s="36" t="str">
        <f>IF(K24=$BQ$2,"",(IF(A24="","",(IF(L24="","",(IF(L24&lt;2,1,0)))))))</f>
        <v/>
      </c>
      <c r="BK24" s="36" t="str">
        <f>IF(W24=$BQ$2,"",(IF(A24="","",(IF(X24="","",(IF(X24&lt;2,1,0)))))))</f>
        <v/>
      </c>
      <c r="BP24" s="36" t="str">
        <f>IF(BH24="","",(SUM(BH24:BK24)))</f>
        <v/>
      </c>
      <c r="BV24" s="36">
        <f t="shared" si="5"/>
        <v>999</v>
      </c>
      <c r="BW24" s="36">
        <f t="shared" si="25"/>
        <v>999</v>
      </c>
      <c r="BX24" s="36">
        <f t="shared" si="168"/>
        <v>18</v>
      </c>
      <c r="BY24" s="36">
        <f t="shared" si="26"/>
        <v>999</v>
      </c>
      <c r="GA24" s="152"/>
      <c r="HA24" s="153"/>
      <c r="HB24" s="152"/>
      <c r="HN24" s="36">
        <f>$BK$2</f>
        <v>999</v>
      </c>
      <c r="HT24" s="36">
        <f t="shared" si="96"/>
        <v>0</v>
      </c>
      <c r="HU24" s="149"/>
      <c r="HV24" s="138"/>
      <c r="IH24" s="149"/>
      <c r="II24" s="138"/>
      <c r="IQ24" s="152"/>
      <c r="JC24" s="36">
        <f>JC23</f>
        <v>999</v>
      </c>
      <c r="JD24" s="36" t="str">
        <f t="shared" si="10"/>
        <v/>
      </c>
      <c r="JJ24" s="149"/>
      <c r="JS24" s="36" t="str">
        <f t="shared" si="130"/>
        <v/>
      </c>
      <c r="JX24" s="149"/>
      <c r="JY24" s="138"/>
      <c r="KG24" s="152"/>
      <c r="KT24" s="36">
        <f>KT23</f>
        <v>999</v>
      </c>
      <c r="LA24" s="149"/>
      <c r="LO24" s="149"/>
      <c r="LP24" s="138"/>
      <c r="LX24" s="152"/>
    </row>
    <row r="25" spans="1:336" ht="14.25" hidden="1" customHeight="1" thickBot="1" x14ac:dyDescent="0.3">
      <c r="A25" s="364" t="str">
        <f>'Vážní listina'!HQ25</f>
        <v/>
      </c>
      <c r="B25" s="359" t="str">
        <f>'Vážní listina'!HR25</f>
        <v/>
      </c>
      <c r="C25" s="363" t="str">
        <f>IF(BP25="","",(IF(BP25&gt;1,$BH$2,"")))</f>
        <v/>
      </c>
      <c r="D25" s="361" t="str">
        <f>'Vážní listina'!HK25</f>
        <v/>
      </c>
      <c r="E25" s="343" t="str">
        <f>'Vážní listina'!HL25</f>
        <v/>
      </c>
      <c r="F25" s="26"/>
      <c r="G25" s="33"/>
      <c r="H25" s="334" t="str">
        <f>IF(H5="","",'Vážní listina'!HM25)</f>
        <v/>
      </c>
      <c r="I25" s="26"/>
      <c r="J25" s="33"/>
      <c r="K25" s="334" t="str">
        <f>IF(K5="","",DV25)</f>
        <v/>
      </c>
      <c r="L25" s="26"/>
      <c r="M25" s="33"/>
      <c r="N25" s="334" t="str">
        <f>IF(N5="","",FZ25)</f>
        <v/>
      </c>
      <c r="O25" s="26"/>
      <c r="P25" s="33"/>
      <c r="Q25" s="334" t="str">
        <f>IF(Q5="","",IP25)</f>
        <v/>
      </c>
      <c r="R25" s="26"/>
      <c r="S25" s="33"/>
      <c r="T25" s="334" t="str">
        <f>IF(T5="","",KF25)</f>
        <v/>
      </c>
      <c r="U25" s="26"/>
      <c r="V25" s="33"/>
      <c r="W25" s="337" t="str">
        <f>IF(W5="","",LW25)</f>
        <v/>
      </c>
      <c r="X25" s="26"/>
      <c r="Y25" s="33"/>
      <c r="Z25" s="338" t="str">
        <f>IF(A25="","",(F25+I25+L25+O25+R25+U25+X25))</f>
        <v/>
      </c>
      <c r="AA25" s="335" t="str">
        <f>IF(A25="","",(F26+I26+L26+O26+R26+U26+X26))</f>
        <v/>
      </c>
      <c r="AB25" s="336" t="str">
        <f>IF(A25="","",(G25+J25+M25+P25+S25+V25+Y25))</f>
        <v/>
      </c>
      <c r="AC25" s="356" t="str">
        <f>HF98</f>
        <v/>
      </c>
      <c r="AD25" s="328"/>
      <c r="AE25" s="328" t="str">
        <f>IF(D25="","",(IF('Tabulka finále'!$BK$47=1,(IF('Tabulka finále'!$K$56="","",(IF($AC$5="","",(IF($H$5="","",(FW136))))))),"")))</f>
        <v/>
      </c>
      <c r="AG25" s="53"/>
      <c r="BG25" s="36">
        <f>IF(A25="",0,1)</f>
        <v>0</v>
      </c>
      <c r="BH25" s="36" t="str">
        <f>(IF(E25="","",(IF(E25=$BQ$2,0,(IF(A25="","",(IF(F25="","",(IF(F25&lt;2,1,0))))))))))</f>
        <v/>
      </c>
      <c r="BI25" s="36" t="str">
        <f>IF(H25=$BQ$2,0,(IF(A25="","",(IF(I25="","",(IF(I25&lt;2,1,0)))))))</f>
        <v/>
      </c>
      <c r="BJ25" s="36" t="str">
        <f>IF(L25="","",(IF(L25&lt;2,1,0)))</f>
        <v/>
      </c>
      <c r="BK25" s="36" t="str">
        <f>IF(O25="","",(IF(O25&lt;2,1,0)))</f>
        <v/>
      </c>
      <c r="BL25" s="36" t="str">
        <f>IF(R25="","",(IF(R25&lt;2,1,0)))</f>
        <v/>
      </c>
      <c r="BM25" s="36" t="str">
        <f>IF(U25="","",(IF(U25&lt;2,1,0)))</f>
        <v/>
      </c>
      <c r="BN25" s="36" t="str">
        <f>IF(X25="","",(IF(X25&lt;2,1,0)))</f>
        <v/>
      </c>
      <c r="BP25" s="36" t="str">
        <f>IF(BG25=0,"",(SUM(BH25:BN25)))</f>
        <v/>
      </c>
      <c r="BV25" s="36">
        <f t="shared" si="5"/>
        <v>999</v>
      </c>
      <c r="BW25" s="36">
        <f t="shared" si="25"/>
        <v>999</v>
      </c>
      <c r="BX25" s="36">
        <f t="shared" si="168"/>
        <v>19</v>
      </c>
      <c r="BY25" s="36">
        <f t="shared" si="26"/>
        <v>999</v>
      </c>
      <c r="DV25" s="36" t="str">
        <f>DT16</f>
        <v/>
      </c>
      <c r="FZ25" s="36" t="str">
        <f>FX16</f>
        <v/>
      </c>
      <c r="GA25" s="152"/>
      <c r="HA25" s="153"/>
      <c r="HB25" s="152"/>
      <c r="HV25" s="138"/>
      <c r="IH25" s="149"/>
      <c r="II25" s="138"/>
      <c r="IP25" s="36" t="str">
        <f>IN16</f>
        <v/>
      </c>
      <c r="IQ25" s="152"/>
      <c r="JJ25" s="149"/>
      <c r="JX25" s="149"/>
      <c r="JY25" s="138"/>
      <c r="KF25" s="36" t="str">
        <f>KD16</f>
        <v/>
      </c>
      <c r="KG25" s="152"/>
      <c r="LA25" s="149"/>
      <c r="LO25" s="149"/>
      <c r="LP25" s="138"/>
      <c r="LW25" s="36" t="str">
        <f>LU16</f>
        <v/>
      </c>
      <c r="LX25" s="152"/>
    </row>
    <row r="26" spans="1:336" ht="14.25" hidden="1" customHeight="1" thickBot="1" x14ac:dyDescent="0.3">
      <c r="A26" s="365"/>
      <c r="B26" s="360"/>
      <c r="C26" s="363"/>
      <c r="D26" s="362"/>
      <c r="E26" s="346"/>
      <c r="F26" s="29"/>
      <c r="G26" s="30"/>
      <c r="H26" s="334"/>
      <c r="I26" s="29"/>
      <c r="J26" s="30"/>
      <c r="K26" s="334"/>
      <c r="L26" s="29"/>
      <c r="M26" s="30"/>
      <c r="N26" s="334"/>
      <c r="O26" s="29"/>
      <c r="P26" s="30"/>
      <c r="Q26" s="334"/>
      <c r="R26" s="29"/>
      <c r="S26" s="30"/>
      <c r="T26" s="334"/>
      <c r="U26" s="29"/>
      <c r="V26" s="30"/>
      <c r="W26" s="337"/>
      <c r="X26" s="29"/>
      <c r="Y26" s="30"/>
      <c r="Z26" s="338"/>
      <c r="AA26" s="335"/>
      <c r="AB26" s="336"/>
      <c r="AC26" s="357"/>
      <c r="AD26" s="328"/>
      <c r="AE26" s="328"/>
      <c r="AG26" s="53"/>
      <c r="AN26" s="53"/>
      <c r="AO26" s="53"/>
      <c r="AP26" s="53"/>
      <c r="BH26" s="36" t="str">
        <f>IF(E26=$BQ$2,"",(IF(A26="","",(IF(F26="","",(IF(F26&lt;2,1,0)))))))</f>
        <v/>
      </c>
      <c r="BI26" s="36" t="str">
        <f>IF(H26=$BQ$2,"",(IF(A26="","",(IF(I26="","",(IF(I26&lt;2,1,0)))))))</f>
        <v/>
      </c>
      <c r="BJ26" s="36" t="str">
        <f>IF(K26=$BQ$2,"",(IF(A26="","",(IF(L26="","",(IF(L26&lt;2,1,0)))))))</f>
        <v/>
      </c>
      <c r="BK26" s="36" t="str">
        <f>IF(W26=$BQ$2,"",(IF(A26="","",(IF(X26="","",(IF(X26&lt;2,1,0)))))))</f>
        <v/>
      </c>
      <c r="BP26" s="36" t="str">
        <f>IF(BH26="","",(SUM(BH26:BK26)))</f>
        <v/>
      </c>
      <c r="BV26" s="36">
        <f t="shared" si="5"/>
        <v>999</v>
      </c>
      <c r="BW26" s="36">
        <f t="shared" si="25"/>
        <v>999</v>
      </c>
      <c r="BX26" s="36">
        <f t="shared" si="168"/>
        <v>20</v>
      </c>
      <c r="BY26" s="36">
        <f t="shared" si="26"/>
        <v>999</v>
      </c>
      <c r="GA26" s="152"/>
      <c r="HA26" s="153"/>
      <c r="HB26" s="152"/>
      <c r="HV26" s="138"/>
      <c r="HY26" s="53"/>
      <c r="HZ26" s="53"/>
      <c r="IA26" s="53"/>
      <c r="IH26" s="149"/>
      <c r="II26" s="138"/>
      <c r="IQ26" s="152"/>
      <c r="JJ26" s="149"/>
      <c r="JX26" s="149"/>
      <c r="JY26" s="138"/>
      <c r="KG26" s="152"/>
      <c r="LA26" s="149"/>
      <c r="LO26" s="149"/>
      <c r="LP26" s="138"/>
      <c r="LX26" s="152"/>
    </row>
    <row r="27" spans="1:336" ht="14.25" hidden="1" customHeight="1" thickBot="1" x14ac:dyDescent="0.3">
      <c r="A27" s="364" t="str">
        <f>'Vážní listina'!HQ27</f>
        <v/>
      </c>
      <c r="B27" s="359" t="str">
        <f>'Vážní listina'!HR27</f>
        <v/>
      </c>
      <c r="C27" s="363" t="str">
        <f>IF(BP27="","",(IF(BP27&gt;1,$BH$2,"")))</f>
        <v/>
      </c>
      <c r="D27" s="361" t="str">
        <f>'Vážní listina'!HK27</f>
        <v/>
      </c>
      <c r="E27" s="343" t="str">
        <f>'Vážní listina'!HL27</f>
        <v/>
      </c>
      <c r="F27" s="26"/>
      <c r="G27" s="33"/>
      <c r="H27" s="343" t="str">
        <f>IF(H5="","",'Vážní listina'!HM27)</f>
        <v/>
      </c>
      <c r="I27" s="26"/>
      <c r="J27" s="33"/>
      <c r="K27" s="334" t="str">
        <f>IF(K5="","",DV27)</f>
        <v/>
      </c>
      <c r="L27" s="26"/>
      <c r="M27" s="33"/>
      <c r="N27" s="334" t="str">
        <f>IF(N5="","",FZ27)</f>
        <v/>
      </c>
      <c r="O27" s="26"/>
      <c r="P27" s="33"/>
      <c r="Q27" s="334" t="str">
        <f>IF(Q5="","",IP27)</f>
        <v/>
      </c>
      <c r="R27" s="26"/>
      <c r="S27" s="33"/>
      <c r="T27" s="334" t="str">
        <f>IF(T5="","",KF27)</f>
        <v/>
      </c>
      <c r="U27" s="26"/>
      <c r="V27" s="33"/>
      <c r="W27" s="337" t="str">
        <f>IF(W5="","",LW27)</f>
        <v/>
      </c>
      <c r="X27" s="26"/>
      <c r="Y27" s="33"/>
      <c r="Z27" s="338" t="str">
        <f>IF(A27="","",(F27+I27+L27+O27+R27+U27+X27))</f>
        <v/>
      </c>
      <c r="AA27" s="335" t="str">
        <f>IF(A27="","",(F28+I28+L28+O28+R28+U28+X28))</f>
        <v/>
      </c>
      <c r="AB27" s="336" t="str">
        <f>IF(A27="","",(G27+J27+M27+P27+S27+V27+Y27))</f>
        <v/>
      </c>
      <c r="AC27" s="356" t="str">
        <f>HF100</f>
        <v/>
      </c>
      <c r="AD27" s="329"/>
      <c r="AE27" s="328" t="str">
        <f>IF(D27="","",(IF('Tabulka finále'!$BK$47=1,(IF('Tabulka finále'!$K$56="","",(IF($AC$5="","",(IF($H$5="","",(FW138))))))),"")))</f>
        <v/>
      </c>
      <c r="AG27" s="53"/>
      <c r="BG27" s="36">
        <f>IF(A27="",0,1)</f>
        <v>0</v>
      </c>
      <c r="BH27" s="36" t="str">
        <f>(IF(E27="","",(IF(E27=$BQ$2,0,(IF(A27="","",(IF(F27="","",(IF(F27&lt;2,1,0))))))))))</f>
        <v/>
      </c>
      <c r="BI27" s="36" t="str">
        <f>IF(H27=$BQ$2,0,(IF(A27="","",(IF(I27="","",(IF(I27&lt;2,1,0)))))))</f>
        <v/>
      </c>
      <c r="BJ27" s="36" t="str">
        <f>IF(L27="","",(IF(L27&lt;2,1,0)))</f>
        <v/>
      </c>
      <c r="BK27" s="36" t="str">
        <f>IF(O27="","",(IF(O27&lt;2,1,0)))</f>
        <v/>
      </c>
      <c r="BL27" s="36" t="str">
        <f>IF(R27="","",(IF(R27&lt;2,1,0)))</f>
        <v/>
      </c>
      <c r="BM27" s="36" t="str">
        <f>IF(U27="","",(IF(U27&lt;2,1,0)))</f>
        <v/>
      </c>
      <c r="BN27" s="36" t="str">
        <f>IF(X27="","",(IF(X27&lt;2,1,0)))</f>
        <v/>
      </c>
      <c r="BP27" s="36" t="str">
        <f>IF(BG27=0,"",(SUM(BH27:BN27)))</f>
        <v/>
      </c>
      <c r="BV27" s="36">
        <f t="shared" si="5"/>
        <v>999</v>
      </c>
      <c r="BW27" s="36">
        <f t="shared" si="25"/>
        <v>999</v>
      </c>
      <c r="BX27" s="36">
        <f t="shared" si="168"/>
        <v>21</v>
      </c>
      <c r="BY27" s="36">
        <f t="shared" si="26"/>
        <v>999</v>
      </c>
      <c r="DV27" s="36" t="str">
        <f>DT17</f>
        <v/>
      </c>
      <c r="FQ27" s="53"/>
      <c r="FR27" s="53"/>
      <c r="FS27" s="53"/>
      <c r="FZ27" s="36" t="str">
        <f>FX17</f>
        <v/>
      </c>
      <c r="GA27" s="152"/>
      <c r="GG27" s="53"/>
      <c r="GH27" s="53"/>
      <c r="GI27" s="53"/>
      <c r="HA27" s="153"/>
      <c r="HB27" s="152"/>
      <c r="HV27" s="138"/>
      <c r="IH27" s="149"/>
      <c r="II27" s="138"/>
      <c r="IP27" s="36" t="str">
        <f>IN17</f>
        <v/>
      </c>
      <c r="IQ27" s="152"/>
      <c r="JJ27" s="149"/>
      <c r="JX27" s="149"/>
      <c r="JY27" s="138"/>
      <c r="KF27" s="36" t="str">
        <f>KD17</f>
        <v/>
      </c>
      <c r="KG27" s="152"/>
      <c r="LA27" s="149"/>
      <c r="LO27" s="149"/>
      <c r="LP27" s="138"/>
      <c r="LW27" s="36" t="str">
        <f>LU17</f>
        <v/>
      </c>
      <c r="LX27" s="152"/>
    </row>
    <row r="28" spans="1:336" ht="14.25" hidden="1" customHeight="1" thickBot="1" x14ac:dyDescent="0.3">
      <c r="A28" s="365"/>
      <c r="B28" s="360"/>
      <c r="C28" s="363"/>
      <c r="D28" s="362"/>
      <c r="E28" s="346"/>
      <c r="F28" s="29"/>
      <c r="G28" s="30"/>
      <c r="H28" s="346"/>
      <c r="I28" s="29"/>
      <c r="J28" s="30"/>
      <c r="K28" s="334"/>
      <c r="L28" s="29"/>
      <c r="M28" s="30"/>
      <c r="N28" s="334"/>
      <c r="O28" s="29"/>
      <c r="P28" s="30"/>
      <c r="Q28" s="334"/>
      <c r="R28" s="29"/>
      <c r="S28" s="30"/>
      <c r="T28" s="334"/>
      <c r="U28" s="29"/>
      <c r="V28" s="30"/>
      <c r="W28" s="337"/>
      <c r="X28" s="29"/>
      <c r="Y28" s="30"/>
      <c r="Z28" s="338"/>
      <c r="AA28" s="335"/>
      <c r="AB28" s="336"/>
      <c r="AC28" s="357"/>
      <c r="AD28" s="327"/>
      <c r="AE28" s="328"/>
      <c r="AG28" s="53"/>
      <c r="BH28" s="36" t="str">
        <f>IF(E28=$BQ$2,"",(IF(A28="","",(IF(F28="","",(IF(F28&lt;2,1,0)))))))</f>
        <v/>
      </c>
      <c r="BI28" s="36" t="str">
        <f>IF(H28=$BQ$2,"",(IF(A28="","",(IF(I28="","",(IF(I28&lt;2,1,0)))))))</f>
        <v/>
      </c>
      <c r="BJ28" s="36" t="str">
        <f>IF(K28=$BQ$2,"",(IF(A28="","",(IF(L28="","",(IF(L28&lt;2,1,0)))))))</f>
        <v/>
      </c>
      <c r="BK28" s="36" t="str">
        <f>IF(W28=$BQ$2,"",(IF(A28="","",(IF(X28="","",(IF(X28&lt;2,1,0)))))))</f>
        <v/>
      </c>
      <c r="BP28" s="36" t="str">
        <f>IF(BH28="","",(SUM(BH28:BK28)))</f>
        <v/>
      </c>
      <c r="BV28" s="36">
        <f t="shared" si="5"/>
        <v>999</v>
      </c>
      <c r="BW28" s="36">
        <f t="shared" si="25"/>
        <v>999</v>
      </c>
      <c r="BX28" s="36">
        <f t="shared" si="168"/>
        <v>22</v>
      </c>
      <c r="BY28" s="36">
        <f t="shared" si="26"/>
        <v>999</v>
      </c>
      <c r="GA28" s="152"/>
      <c r="HA28" s="153"/>
      <c r="HB28" s="152"/>
      <c r="HV28" s="138"/>
      <c r="IH28" s="149"/>
      <c r="II28" s="138"/>
      <c r="IQ28" s="152"/>
      <c r="JJ28" s="149"/>
      <c r="JX28" s="149"/>
      <c r="JY28" s="138"/>
      <c r="KG28" s="152"/>
      <c r="LA28" s="149"/>
      <c r="LO28" s="149"/>
      <c r="LP28" s="138"/>
      <c r="LX28" s="152"/>
    </row>
    <row r="29" spans="1:336" ht="14.25" hidden="1" customHeight="1" thickBot="1" x14ac:dyDescent="0.3">
      <c r="A29" s="364" t="str">
        <f>'Vážní listina'!HQ29</f>
        <v/>
      </c>
      <c r="B29" s="359" t="str">
        <f>'Vážní listina'!HR29</f>
        <v/>
      </c>
      <c r="C29" s="363" t="str">
        <f>IF(BP29="","",(IF(BP29&gt;1,$BH$2,"")))</f>
        <v/>
      </c>
      <c r="D29" s="361" t="str">
        <f>'Vážní listina'!HK29</f>
        <v/>
      </c>
      <c r="E29" s="343" t="str">
        <f>'Vážní listina'!HL29</f>
        <v/>
      </c>
      <c r="F29" s="26"/>
      <c r="G29" s="32"/>
      <c r="H29" s="334" t="str">
        <f>IF(H5="","",'Vážní listina'!HM29)</f>
        <v/>
      </c>
      <c r="I29" s="26"/>
      <c r="J29" s="32"/>
      <c r="K29" s="334" t="str">
        <f>IF(K5="","",DV29)</f>
        <v/>
      </c>
      <c r="L29" s="26"/>
      <c r="M29" s="32"/>
      <c r="N29" s="334" t="str">
        <f>IF(N5="","",FZ29)</f>
        <v/>
      </c>
      <c r="O29" s="26"/>
      <c r="P29" s="32"/>
      <c r="Q29" s="334" t="str">
        <f>IF(Q5="","",IP29)</f>
        <v/>
      </c>
      <c r="R29" s="26"/>
      <c r="S29" s="32"/>
      <c r="T29" s="334" t="str">
        <f>IF(T5="","",KF29)</f>
        <v/>
      </c>
      <c r="U29" s="26"/>
      <c r="V29" s="32"/>
      <c r="W29" s="337" t="str">
        <f>IF(W5="","",LW29)</f>
        <v/>
      </c>
      <c r="X29" s="26"/>
      <c r="Y29" s="32"/>
      <c r="Z29" s="338" t="str">
        <f>IF(A29="","",(F29+I29+L29+O29+R29+U29+X29))</f>
        <v/>
      </c>
      <c r="AA29" s="335" t="str">
        <f>IF(A29="","",(F30+I30+L30+O30+R30+U30+X30))</f>
        <v/>
      </c>
      <c r="AB29" s="336" t="str">
        <f>IF(A29="","",(G29+J29+M29+P29+S29+V29+Y29))</f>
        <v/>
      </c>
      <c r="AC29" s="356" t="str">
        <f>HF102</f>
        <v/>
      </c>
      <c r="AD29" s="328"/>
      <c r="AE29" s="328" t="str">
        <f>IF(D29="","",(IF('Tabulka finále'!$BK$47=1,(IF('Tabulka finále'!$K$56="","",(IF($AC$5="","",(IF($H$5="","",(FW140))))))),"")))</f>
        <v/>
      </c>
      <c r="AG29" s="53"/>
      <c r="BG29" s="36">
        <f>IF(A29="",0,1)</f>
        <v>0</v>
      </c>
      <c r="BH29" s="36" t="str">
        <f>(IF(E29="","",(IF(E29=$BQ$2,0,(IF(A29="","",(IF(F29="","",(IF(F29&lt;2,1,0))))))))))</f>
        <v/>
      </c>
      <c r="BI29" s="36" t="str">
        <f>IF(H29=$BQ$2,0,(IF(A29="","",(IF(I29="","",(IF(I29&lt;2,1,0)))))))</f>
        <v/>
      </c>
      <c r="BJ29" s="36" t="str">
        <f>IF(L29="","",(IF(L29&lt;2,1,0)))</f>
        <v/>
      </c>
      <c r="BK29" s="36" t="str">
        <f>IF(O29="","",(IF(O29&lt;2,1,0)))</f>
        <v/>
      </c>
      <c r="BL29" s="36" t="str">
        <f>IF(R29="","",(IF(R29&lt;2,1,0)))</f>
        <v/>
      </c>
      <c r="BM29" s="36" t="str">
        <f>IF(U29="","",(IF(U29&lt;2,1,0)))</f>
        <v/>
      </c>
      <c r="BN29" s="36" t="str">
        <f>IF(X29="","",(IF(X29&lt;2,1,0)))</f>
        <v/>
      </c>
      <c r="BP29" s="36" t="str">
        <f>IF(BG29=0,"",(SUM(BH29:BN29)))</f>
        <v/>
      </c>
      <c r="BV29" s="36">
        <f t="shared" si="5"/>
        <v>999</v>
      </c>
      <c r="BW29" s="36">
        <f t="shared" si="25"/>
        <v>999</v>
      </c>
      <c r="BX29" s="36">
        <f t="shared" si="168"/>
        <v>23</v>
      </c>
      <c r="BY29" s="36">
        <f t="shared" si="26"/>
        <v>999</v>
      </c>
      <c r="DV29" s="36" t="str">
        <f>DT18</f>
        <v/>
      </c>
      <c r="FZ29" s="36" t="str">
        <f>FX18</f>
        <v/>
      </c>
      <c r="GA29" s="152"/>
      <c r="HA29" s="153"/>
      <c r="HB29" s="152"/>
      <c r="HV29" s="138"/>
      <c r="HX29" s="53"/>
      <c r="HY29" s="53"/>
      <c r="HZ29" s="53"/>
      <c r="IH29" s="149"/>
      <c r="II29" s="138"/>
      <c r="IP29" s="36" t="str">
        <f>IN18</f>
        <v/>
      </c>
      <c r="IQ29" s="152"/>
      <c r="JJ29" s="149"/>
      <c r="JX29" s="149"/>
      <c r="JY29" s="138"/>
      <c r="KF29" s="36" t="str">
        <f>KD18</f>
        <v/>
      </c>
      <c r="KG29" s="152"/>
      <c r="LA29" s="149"/>
      <c r="LO29" s="149"/>
      <c r="LP29" s="138"/>
      <c r="LW29" s="36" t="str">
        <f>LU18</f>
        <v/>
      </c>
      <c r="LX29" s="152"/>
    </row>
    <row r="30" spans="1:336" ht="14.25" hidden="1" customHeight="1" thickBot="1" x14ac:dyDescent="0.3">
      <c r="A30" s="365"/>
      <c r="B30" s="360"/>
      <c r="C30" s="363"/>
      <c r="D30" s="362"/>
      <c r="E30" s="346"/>
      <c r="F30" s="29"/>
      <c r="G30" s="30"/>
      <c r="H30" s="334"/>
      <c r="I30" s="29"/>
      <c r="J30" s="30"/>
      <c r="K30" s="334"/>
      <c r="L30" s="29"/>
      <c r="M30" s="30"/>
      <c r="N30" s="334"/>
      <c r="O30" s="29"/>
      <c r="P30" s="30"/>
      <c r="Q30" s="334"/>
      <c r="R30" s="29"/>
      <c r="S30" s="30"/>
      <c r="T30" s="334"/>
      <c r="U30" s="29"/>
      <c r="V30" s="30"/>
      <c r="W30" s="337"/>
      <c r="X30" s="29"/>
      <c r="Y30" s="30"/>
      <c r="Z30" s="338"/>
      <c r="AA30" s="335"/>
      <c r="AB30" s="336"/>
      <c r="AC30" s="357"/>
      <c r="AD30" s="328"/>
      <c r="AE30" s="328"/>
      <c r="AG30" s="53"/>
      <c r="BH30" s="36" t="str">
        <f>IF(E30=$BQ$2,"",(IF(A30="","",(IF(F30="","",(IF(F30&lt;2,1,0)))))))</f>
        <v/>
      </c>
      <c r="BI30" s="36" t="str">
        <f>IF(H30=$BQ$2,"",(IF(A30="","",(IF(I30="","",(IF(I30&lt;2,1,0)))))))</f>
        <v/>
      </c>
      <c r="BJ30" s="36" t="str">
        <f>IF(K30=$BQ$2,"",(IF(A30="","",(IF(L30="","",(IF(L30&lt;2,1,0)))))))</f>
        <v/>
      </c>
      <c r="BK30" s="36" t="str">
        <f>IF(W30=$BQ$2,"",(IF(A30="","",(IF(X30="","",(IF(X30&lt;2,1,0)))))))</f>
        <v/>
      </c>
      <c r="BP30" s="36" t="str">
        <f>IF(BH30="","",(SUM(BH30:BK30)))</f>
        <v/>
      </c>
      <c r="BV30" s="36">
        <f t="shared" si="5"/>
        <v>999</v>
      </c>
      <c r="BW30" s="36">
        <f t="shared" si="25"/>
        <v>999</v>
      </c>
      <c r="BX30" s="36">
        <f t="shared" si="168"/>
        <v>24</v>
      </c>
      <c r="BY30" s="36">
        <f t="shared" si="26"/>
        <v>999</v>
      </c>
      <c r="GA30" s="152"/>
      <c r="HA30" s="153"/>
      <c r="HB30" s="152"/>
      <c r="HV30" s="138"/>
      <c r="IH30" s="149"/>
      <c r="II30" s="138"/>
      <c r="IQ30" s="152"/>
      <c r="JJ30" s="149"/>
      <c r="JX30" s="149"/>
      <c r="JY30" s="138"/>
      <c r="KG30" s="152"/>
      <c r="LA30" s="149"/>
      <c r="LO30" s="149"/>
      <c r="LP30" s="138"/>
      <c r="LX30" s="152"/>
    </row>
    <row r="31" spans="1:336" ht="14.25" hidden="1" customHeight="1" thickBot="1" x14ac:dyDescent="0.3">
      <c r="A31" s="364" t="str">
        <f>'Vážní listina'!HQ31</f>
        <v/>
      </c>
      <c r="B31" s="359" t="str">
        <f>'Vážní listina'!HR31</f>
        <v/>
      </c>
      <c r="C31" s="363" t="str">
        <f>IF(BP31="","",(IF(BP31&gt;1,$BH$2,"")))</f>
        <v/>
      </c>
      <c r="D31" s="361" t="str">
        <f>'Vážní listina'!HK31</f>
        <v/>
      </c>
      <c r="E31" s="343" t="str">
        <f>'Vážní listina'!HL31</f>
        <v/>
      </c>
      <c r="F31" s="26"/>
      <c r="G31" s="33"/>
      <c r="H31" s="343" t="str">
        <f>IF(H5="","",'Vážní listina'!HM31)</f>
        <v/>
      </c>
      <c r="I31" s="26"/>
      <c r="J31" s="33"/>
      <c r="K31" s="334" t="str">
        <f>IF(K5="","",DV31)</f>
        <v/>
      </c>
      <c r="L31" s="26"/>
      <c r="M31" s="33"/>
      <c r="N31" s="334" t="str">
        <f>IF(N5="","",FZ31)</f>
        <v/>
      </c>
      <c r="O31" s="26"/>
      <c r="P31" s="33"/>
      <c r="Q31" s="334" t="str">
        <f>IF(Q5="","",IP31)</f>
        <v/>
      </c>
      <c r="R31" s="26"/>
      <c r="S31" s="33"/>
      <c r="T31" s="334" t="str">
        <f>IF(T5="","",KF31)</f>
        <v/>
      </c>
      <c r="U31" s="26"/>
      <c r="V31" s="33"/>
      <c r="W31" s="337" t="str">
        <f>IF(W5="","",LW31)</f>
        <v/>
      </c>
      <c r="X31" s="26"/>
      <c r="Y31" s="33"/>
      <c r="Z31" s="338" t="str">
        <f>IF(A31="","",(F31+I31+L31+O31+R31+U31+X31))</f>
        <v/>
      </c>
      <c r="AA31" s="335" t="str">
        <f>IF(A31="","",(F32+I32+L32+O32+R32+U32+X32))</f>
        <v/>
      </c>
      <c r="AB31" s="336" t="str">
        <f>IF(A31="","",(G31+J31+M31+P31+S31+V31+Y31))</f>
        <v/>
      </c>
      <c r="AC31" s="356" t="str">
        <f>HF104</f>
        <v/>
      </c>
      <c r="AD31" s="329"/>
      <c r="AE31" s="328" t="str">
        <f>IF(D31="","",(IF('Tabulka finále'!$BK$47=1,(IF('Tabulka finále'!$K$56="","",(IF($AC$5="","",(IF($H$5="","",(FW142))))))),"")))</f>
        <v/>
      </c>
      <c r="AG31" s="53"/>
      <c r="BG31" s="36">
        <f>IF(A31="",0,1)</f>
        <v>0</v>
      </c>
      <c r="BH31" s="36" t="str">
        <f>(IF(E31="","",(IF(E31=$BQ$2,0,(IF(A31="","",(IF(F31="","",(IF(F31&lt;2,1,0))))))))))</f>
        <v/>
      </c>
      <c r="BI31" s="36" t="str">
        <f>IF(H31=$BQ$2,0,(IF(A31="","",(IF(I31="","",(IF(I31&lt;2,1,0)))))))</f>
        <v/>
      </c>
      <c r="BJ31" s="36" t="str">
        <f>IF(L31="","",(IF(L31&lt;2,1,0)))</f>
        <v/>
      </c>
      <c r="BK31" s="36" t="str">
        <f>IF(O31="","",(IF(O31&lt;2,1,0)))</f>
        <v/>
      </c>
      <c r="BL31" s="36" t="str">
        <f>IF(R31="","",(IF(R31&lt;2,1,0)))</f>
        <v/>
      </c>
      <c r="BM31" s="36" t="str">
        <f>IF(U31="","",(IF(U31&lt;2,1,0)))</f>
        <v/>
      </c>
      <c r="BN31" s="36" t="str">
        <f>IF(X31="","",(IF(X31&lt;2,1,0)))</f>
        <v/>
      </c>
      <c r="BP31" s="36" t="str">
        <f>IF(BG31=0,"",(SUM(BH31:BN31)))</f>
        <v/>
      </c>
      <c r="BV31" s="36">
        <f t="shared" si="5"/>
        <v>999</v>
      </c>
      <c r="BW31" s="36">
        <f t="shared" si="25"/>
        <v>999</v>
      </c>
      <c r="BX31" s="36">
        <f t="shared" si="168"/>
        <v>25</v>
      </c>
      <c r="BY31" s="36">
        <f t="shared" si="26"/>
        <v>999</v>
      </c>
      <c r="DV31" s="36" t="str">
        <f>DT19</f>
        <v/>
      </c>
      <c r="FZ31" s="36" t="str">
        <f>FX19</f>
        <v/>
      </c>
      <c r="GA31" s="152"/>
      <c r="HA31" s="153"/>
      <c r="HB31" s="152"/>
      <c r="HV31" s="138"/>
      <c r="IH31" s="149"/>
      <c r="II31" s="138"/>
      <c r="IP31" s="36" t="str">
        <f>IN19</f>
        <v/>
      </c>
      <c r="IQ31" s="152"/>
      <c r="JJ31" s="149"/>
      <c r="JX31" s="149"/>
      <c r="JY31" s="138"/>
      <c r="KF31" s="36" t="str">
        <f>KD19</f>
        <v/>
      </c>
      <c r="KG31" s="152"/>
      <c r="LA31" s="149"/>
      <c r="LO31" s="149"/>
      <c r="LP31" s="138"/>
      <c r="LW31" s="36" t="str">
        <f>LU19</f>
        <v/>
      </c>
      <c r="LX31" s="152"/>
    </row>
    <row r="32" spans="1:336" ht="14.25" hidden="1" customHeight="1" thickBot="1" x14ac:dyDescent="0.3">
      <c r="A32" s="365"/>
      <c r="B32" s="360"/>
      <c r="C32" s="363"/>
      <c r="D32" s="362"/>
      <c r="E32" s="346"/>
      <c r="F32" s="29"/>
      <c r="G32" s="30"/>
      <c r="H32" s="346"/>
      <c r="I32" s="29"/>
      <c r="J32" s="30"/>
      <c r="K32" s="334"/>
      <c r="L32" s="29"/>
      <c r="M32" s="30"/>
      <c r="N32" s="334"/>
      <c r="O32" s="29"/>
      <c r="P32" s="30"/>
      <c r="Q32" s="334"/>
      <c r="R32" s="29"/>
      <c r="S32" s="30"/>
      <c r="T32" s="334"/>
      <c r="U32" s="29"/>
      <c r="V32" s="30"/>
      <c r="W32" s="337"/>
      <c r="X32" s="29"/>
      <c r="Y32" s="30"/>
      <c r="Z32" s="338"/>
      <c r="AA32" s="335"/>
      <c r="AB32" s="336"/>
      <c r="AC32" s="357"/>
      <c r="AD32" s="327"/>
      <c r="AE32" s="328"/>
      <c r="AG32" s="53"/>
      <c r="BH32" s="36" t="str">
        <f>IF(E32=$BQ$2,"",(IF(A32="","",(IF(F32="","",(IF(F32&lt;2,1,0)))))))</f>
        <v/>
      </c>
      <c r="BI32" s="36" t="str">
        <f>IF(H32=$BQ$2,"",(IF(A32="","",(IF(I32="","",(IF(I32&lt;2,1,0)))))))</f>
        <v/>
      </c>
      <c r="BJ32" s="36" t="str">
        <f>IF(K32=$BQ$2,"",(IF(A32="","",(IF(L32="","",(IF(L32&lt;2,1,0)))))))</f>
        <v/>
      </c>
      <c r="BK32" s="36" t="str">
        <f>IF(W32=$BQ$2,"",(IF(A32="","",(IF(X32="","",(IF(X32&lt;2,1,0)))))))</f>
        <v/>
      </c>
      <c r="BP32" s="36" t="str">
        <f>IF(BH32="","",(SUM(BH32:BK32)))</f>
        <v/>
      </c>
      <c r="BV32" s="36">
        <f t="shared" si="5"/>
        <v>999</v>
      </c>
      <c r="BW32" s="36">
        <f t="shared" si="25"/>
        <v>999</v>
      </c>
      <c r="BX32" s="36">
        <f t="shared" si="168"/>
        <v>26</v>
      </c>
      <c r="BY32" s="36">
        <f t="shared" si="26"/>
        <v>999</v>
      </c>
      <c r="GA32" s="152"/>
      <c r="HA32" s="153"/>
      <c r="HB32" s="152"/>
      <c r="HV32" s="138"/>
      <c r="IH32" s="149"/>
      <c r="II32" s="138"/>
      <c r="IQ32" s="152"/>
      <c r="JJ32" s="149"/>
      <c r="JX32" s="149"/>
      <c r="JY32" s="138"/>
      <c r="KG32" s="152"/>
      <c r="LA32" s="149"/>
      <c r="LO32" s="149"/>
      <c r="LP32" s="138"/>
      <c r="LX32" s="152"/>
    </row>
    <row r="33" spans="1:336" ht="14.25" hidden="1" customHeight="1" thickBot="1" x14ac:dyDescent="0.3">
      <c r="A33" s="364" t="str">
        <f>'Vážní listina'!HQ33</f>
        <v/>
      </c>
      <c r="B33" s="359" t="str">
        <f>'Vážní listina'!HR33</f>
        <v/>
      </c>
      <c r="C33" s="363" t="str">
        <f>IF(BP33="","",(IF(BP33&gt;1,$BH$2,"")))</f>
        <v/>
      </c>
      <c r="D33" s="361" t="str">
        <f>'Vážní listina'!HK33</f>
        <v/>
      </c>
      <c r="E33" s="343" t="str">
        <f>'Vážní listina'!HL33</f>
        <v/>
      </c>
      <c r="F33" s="26"/>
      <c r="G33" s="33"/>
      <c r="H33" s="334" t="str">
        <f>IF(H5="","",'Vážní listina'!HM33)</f>
        <v/>
      </c>
      <c r="I33" s="26"/>
      <c r="J33" s="33"/>
      <c r="K33" s="334" t="str">
        <f>IF(K5="","",DV33)</f>
        <v/>
      </c>
      <c r="L33" s="26"/>
      <c r="M33" s="33"/>
      <c r="N33" s="334" t="str">
        <f>IF(N5="","",FZ33)</f>
        <v/>
      </c>
      <c r="O33" s="26"/>
      <c r="P33" s="33"/>
      <c r="Q33" s="334" t="str">
        <f>IF(Q5="","",IP33)</f>
        <v/>
      </c>
      <c r="R33" s="26"/>
      <c r="S33" s="33"/>
      <c r="T33" s="334" t="str">
        <f>IF(T5="","",KF33)</f>
        <v/>
      </c>
      <c r="U33" s="26"/>
      <c r="V33" s="33"/>
      <c r="W33" s="337" t="str">
        <f>IF(W5="","",LW33)</f>
        <v/>
      </c>
      <c r="X33" s="26"/>
      <c r="Y33" s="33"/>
      <c r="Z33" s="338" t="str">
        <f>IF(A33="","",(F33+I33+L33+O33+R33+U33+X33))</f>
        <v/>
      </c>
      <c r="AA33" s="335" t="str">
        <f>IF(A33="","",(F34+I34+L34+O34+R34+U34+X34))</f>
        <v/>
      </c>
      <c r="AB33" s="336" t="str">
        <f>IF(A33="","",(G33+J33+M33+P33+S33+V33+Y33))</f>
        <v/>
      </c>
      <c r="AC33" s="356" t="str">
        <f>HF106</f>
        <v/>
      </c>
      <c r="AD33" s="328"/>
      <c r="AE33" s="328" t="str">
        <f>IF(D33="","",(IF('Tabulka finále'!$BK$47=1,(IF('Tabulka finále'!$K$56="","",(IF($AC$5="","",(IF($H$5="","",(FW144))))))),"")))</f>
        <v/>
      </c>
      <c r="AG33" s="53"/>
      <c r="BG33" s="36">
        <f>IF(A33="",0,1)</f>
        <v>0</v>
      </c>
      <c r="BH33" s="36" t="str">
        <f>(IF(E33="","",(IF(E33=$BQ$2,0,(IF(A33="","",(IF(F33="","",(IF(F33&lt;2,1,0))))))))))</f>
        <v/>
      </c>
      <c r="BI33" s="36" t="str">
        <f>IF(H33=$BQ$2,0,(IF(A33="","",(IF(I33="","",(IF(I33&lt;2,1,0)))))))</f>
        <v/>
      </c>
      <c r="BJ33" s="36" t="str">
        <f>IF(L33="","",(IF(L33&lt;2,1,0)))</f>
        <v/>
      </c>
      <c r="BK33" s="36" t="str">
        <f>IF(O33="","",(IF(O33&lt;2,1,0)))</f>
        <v/>
      </c>
      <c r="BL33" s="36" t="str">
        <f>IF(R33="","",(IF(R33&lt;2,1,0)))</f>
        <v/>
      </c>
      <c r="BM33" s="36" t="str">
        <f>IF(U33="","",(IF(U33&lt;2,1,0)))</f>
        <v/>
      </c>
      <c r="BN33" s="36" t="str">
        <f>IF(X33="","",(IF(X33&lt;2,1,0)))</f>
        <v/>
      </c>
      <c r="BP33" s="36" t="str">
        <f>IF(BG33=0,"",(SUM(BH33:BN33)))</f>
        <v/>
      </c>
      <c r="BV33" s="36">
        <f t="shared" si="5"/>
        <v>999</v>
      </c>
      <c r="BW33" s="36">
        <f t="shared" si="25"/>
        <v>999</v>
      </c>
      <c r="BX33" s="36">
        <f t="shared" si="168"/>
        <v>27</v>
      </c>
      <c r="BY33" s="36">
        <f t="shared" si="26"/>
        <v>999</v>
      </c>
      <c r="DF33" s="67" t="str">
        <f>DF2</f>
        <v>chyba</v>
      </c>
      <c r="DV33" s="36" t="str">
        <f>DT20</f>
        <v/>
      </c>
      <c r="FZ33" s="36" t="str">
        <f>FX20</f>
        <v/>
      </c>
      <c r="GA33" s="152"/>
      <c r="HA33" s="153"/>
      <c r="HB33" s="152"/>
      <c r="HV33" s="138"/>
      <c r="IH33" s="149"/>
      <c r="II33" s="138"/>
      <c r="IP33" s="36" t="str">
        <f>IN20</f>
        <v/>
      </c>
      <c r="IQ33" s="152"/>
      <c r="JJ33" s="149"/>
      <c r="JX33" s="149"/>
      <c r="JY33" s="138"/>
      <c r="KF33" s="36" t="str">
        <f>KD20</f>
        <v/>
      </c>
      <c r="KG33" s="152"/>
      <c r="LA33" s="149"/>
      <c r="LO33" s="149"/>
      <c r="LP33" s="138"/>
      <c r="LW33" s="36" t="str">
        <f>LU20</f>
        <v/>
      </c>
      <c r="LX33" s="152"/>
    </row>
    <row r="34" spans="1:336" ht="14.25" hidden="1" customHeight="1" thickBot="1" x14ac:dyDescent="0.3">
      <c r="A34" s="365"/>
      <c r="B34" s="360"/>
      <c r="C34" s="363"/>
      <c r="D34" s="362"/>
      <c r="E34" s="346"/>
      <c r="F34" s="29"/>
      <c r="G34" s="30"/>
      <c r="H34" s="334"/>
      <c r="I34" s="29"/>
      <c r="J34" s="30"/>
      <c r="K34" s="334"/>
      <c r="L34" s="29"/>
      <c r="M34" s="30"/>
      <c r="N34" s="334"/>
      <c r="O34" s="29"/>
      <c r="P34" s="30"/>
      <c r="Q34" s="334"/>
      <c r="R34" s="29"/>
      <c r="S34" s="30"/>
      <c r="T34" s="334"/>
      <c r="U34" s="29"/>
      <c r="V34" s="30"/>
      <c r="W34" s="337"/>
      <c r="X34" s="29"/>
      <c r="Y34" s="30"/>
      <c r="Z34" s="338"/>
      <c r="AA34" s="335"/>
      <c r="AB34" s="336"/>
      <c r="AC34" s="357"/>
      <c r="AD34" s="328"/>
      <c r="AE34" s="328"/>
      <c r="AG34" s="53"/>
      <c r="BH34" s="36" t="str">
        <f>IF(E34=$BQ$2,"",(IF(A34="","",(IF(F34="","",(IF(F34&lt;2,1,0)))))))</f>
        <v/>
      </c>
      <c r="BI34" s="36" t="str">
        <f>IF(H34=$BQ$2,"",(IF(A34="","",(IF(I34="","",(IF(I34&lt;2,1,0)))))))</f>
        <v/>
      </c>
      <c r="BJ34" s="36" t="str">
        <f>IF(K34=$BQ$2,"",(IF(A34="","",(IF(L34="","",(IF(L34&lt;2,1,0)))))))</f>
        <v/>
      </c>
      <c r="BK34" s="36" t="str">
        <f>IF(W34=$BQ$2,"",(IF(A34="","",(IF(X34="","",(IF(X34&lt;2,1,0)))))))</f>
        <v/>
      </c>
      <c r="BP34" s="36" t="str">
        <f>IF(BH34="","",(SUM(BH34:BK34)))</f>
        <v/>
      </c>
      <c r="BV34" s="36">
        <f t="shared" si="5"/>
        <v>999</v>
      </c>
      <c r="BW34" s="36">
        <f t="shared" si="25"/>
        <v>999</v>
      </c>
      <c r="BX34" s="36">
        <f t="shared" si="168"/>
        <v>28</v>
      </c>
      <c r="BY34" s="36">
        <f t="shared" si="26"/>
        <v>999</v>
      </c>
      <c r="GA34" s="152"/>
      <c r="HA34" s="153"/>
      <c r="HB34" s="152"/>
      <c r="HV34" s="138"/>
      <c r="IH34" s="149"/>
      <c r="II34" s="138"/>
      <c r="IQ34" s="152"/>
      <c r="JJ34" s="149"/>
      <c r="JX34" s="149"/>
      <c r="JY34" s="138"/>
      <c r="KG34" s="152"/>
      <c r="LA34" s="149"/>
      <c r="LO34" s="149"/>
      <c r="LP34" s="138"/>
      <c r="LX34" s="152"/>
    </row>
    <row r="35" spans="1:336" ht="14.25" customHeight="1" thickBot="1" x14ac:dyDescent="0.3">
      <c r="A35" s="364" t="str">
        <f>'Vážní listina'!HQ35</f>
        <v/>
      </c>
      <c r="B35" s="359" t="str">
        <f>'Vážní listina'!HR35</f>
        <v/>
      </c>
      <c r="C35" s="363" t="str">
        <f>IF(BP35="","",(IF(BP35&gt;1,$BH$2,"")))</f>
        <v/>
      </c>
      <c r="D35" s="361" t="str">
        <f>'Vážní listina'!HK35</f>
        <v/>
      </c>
      <c r="E35" s="343" t="str">
        <f>'Vážní listina'!HL35</f>
        <v/>
      </c>
      <c r="F35" s="26"/>
      <c r="G35" s="33"/>
      <c r="H35" s="343" t="str">
        <f>IF(H5="","",'Vážní listina'!HM35)</f>
        <v/>
      </c>
      <c r="I35" s="26"/>
      <c r="J35" s="33"/>
      <c r="K35" s="334" t="str">
        <f>IF(K5="","",DV35)</f>
        <v/>
      </c>
      <c r="L35" s="26"/>
      <c r="M35" s="33"/>
      <c r="N35" s="334" t="str">
        <f>IF(N5="","",FZ35)</f>
        <v/>
      </c>
      <c r="O35" s="26"/>
      <c r="P35" s="33"/>
      <c r="Q35" s="334" t="str">
        <f>IF(Q5="","",IP35)</f>
        <v/>
      </c>
      <c r="R35" s="26"/>
      <c r="S35" s="33"/>
      <c r="T35" s="334" t="str">
        <f>IF(T5="","",KF35)</f>
        <v/>
      </c>
      <c r="U35" s="26"/>
      <c r="V35" s="33"/>
      <c r="W35" s="337" t="str">
        <f>IF(W5="","",LW35)</f>
        <v/>
      </c>
      <c r="X35" s="26"/>
      <c r="Y35" s="33"/>
      <c r="Z35" s="338" t="str">
        <f>IF(A35="","",(F35+I35+L35+O35+R35+U35+X35))</f>
        <v/>
      </c>
      <c r="AA35" s="335" t="str">
        <f>IF(A35="","",(F36+I36+L36+O36+R36+U36+X36))</f>
        <v/>
      </c>
      <c r="AB35" s="336" t="str">
        <f>IF(A35="","",(G35+J35+M35+P35+S35+V35+Y35))</f>
        <v/>
      </c>
      <c r="AC35" s="356" t="str">
        <f>HF108</f>
        <v/>
      </c>
      <c r="AD35" s="329"/>
      <c r="AE35" s="328" t="str">
        <f>IF(D35="","",(IF('Tabulka finále'!$BK$47=1,(IF('Tabulka finále'!$K$56="","",(IF($AC$5="","",(IF($H$5="","",(FW146))))))),"")))</f>
        <v/>
      </c>
      <c r="AG35" s="53"/>
      <c r="BG35" s="36">
        <f>IF(A35="",0,1)</f>
        <v>0</v>
      </c>
      <c r="BH35" s="36" t="str">
        <f>(IF(E35="","",(IF(E35=$BQ$2,0,(IF(A35="","",(IF(F35="","",(IF(F35&lt;2,1,0))))))))))</f>
        <v/>
      </c>
      <c r="BI35" s="36" t="str">
        <f>IF(H35=$BQ$2,0,(IF(A35="","",(IF(I35="","",(IF(I35&lt;2,1,0)))))))</f>
        <v/>
      </c>
      <c r="BJ35" s="36" t="str">
        <f>IF(L35="","",(IF(L35&lt;2,1,0)))</f>
        <v/>
      </c>
      <c r="BK35" s="36" t="str">
        <f>IF(O35="","",(IF(O35&lt;2,1,0)))</f>
        <v/>
      </c>
      <c r="BL35" s="36" t="str">
        <f>IF(R35="","",(IF(R35&lt;2,1,0)))</f>
        <v/>
      </c>
      <c r="BM35" s="36" t="str">
        <f>IF(U35="","",(IF(U35&lt;2,1,0)))</f>
        <v/>
      </c>
      <c r="BN35" s="36" t="str">
        <f>IF(X35="","",(IF(X35&lt;2,1,0)))</f>
        <v/>
      </c>
      <c r="BP35" s="36" t="str">
        <f>IF(BG35=0,"",(SUM(BH35:BN35)))</f>
        <v/>
      </c>
      <c r="BV35" s="36">
        <f t="shared" si="5"/>
        <v>999</v>
      </c>
      <c r="BW35" s="36">
        <f t="shared" si="25"/>
        <v>999</v>
      </c>
      <c r="BX35" s="36">
        <f t="shared" si="168"/>
        <v>29</v>
      </c>
      <c r="BY35" s="36">
        <f t="shared" si="26"/>
        <v>999</v>
      </c>
      <c r="CF35" s="36">
        <f>SUM(CD40:CD55)</f>
        <v>3</v>
      </c>
      <c r="CK35" s="36">
        <f>SUM(CI40:CI55)</f>
        <v>3</v>
      </c>
      <c r="CV35" s="36">
        <f>SUM(CV40:CV55)</f>
        <v>2</v>
      </c>
      <c r="DV35" s="36" t="str">
        <f>DT21</f>
        <v/>
      </c>
      <c r="FI35" s="36" t="str">
        <f>FI2</f>
        <v>chyba</v>
      </c>
      <c r="FZ35" s="36" t="str">
        <f>FX21</f>
        <v/>
      </c>
      <c r="GA35" s="152"/>
      <c r="HA35" s="153"/>
      <c r="HB35" s="152"/>
      <c r="HV35" s="138"/>
      <c r="IH35" s="149"/>
      <c r="II35" s="138"/>
      <c r="IP35" s="36" t="str">
        <f>IN21</f>
        <v/>
      </c>
      <c r="IQ35" s="152"/>
      <c r="JJ35" s="149"/>
      <c r="JX35" s="149"/>
      <c r="JY35" s="138"/>
      <c r="KF35" s="36" t="str">
        <f>KD21</f>
        <v/>
      </c>
      <c r="KG35" s="152"/>
      <c r="LA35" s="149"/>
      <c r="LO35" s="149"/>
      <c r="LP35" s="138"/>
      <c r="LW35" s="36" t="str">
        <f>LU21</f>
        <v/>
      </c>
      <c r="LX35" s="152"/>
    </row>
    <row r="36" spans="1:336" ht="14.25" customHeight="1" thickBot="1" x14ac:dyDescent="0.3">
      <c r="A36" s="365"/>
      <c r="B36" s="360"/>
      <c r="C36" s="363"/>
      <c r="D36" s="362"/>
      <c r="E36" s="346"/>
      <c r="F36" s="29"/>
      <c r="G36" s="30"/>
      <c r="H36" s="346"/>
      <c r="I36" s="29"/>
      <c r="J36" s="30"/>
      <c r="K36" s="334"/>
      <c r="L36" s="29"/>
      <c r="M36" s="30"/>
      <c r="N36" s="334"/>
      <c r="O36" s="29"/>
      <c r="P36" s="30"/>
      <c r="Q36" s="334"/>
      <c r="R36" s="29"/>
      <c r="S36" s="30"/>
      <c r="T36" s="334"/>
      <c r="U36" s="29"/>
      <c r="V36" s="30"/>
      <c r="W36" s="337"/>
      <c r="X36" s="29"/>
      <c r="Y36" s="30"/>
      <c r="Z36" s="338"/>
      <c r="AA36" s="335"/>
      <c r="AB36" s="336"/>
      <c r="AC36" s="357"/>
      <c r="AD36" s="327"/>
      <c r="AE36" s="328"/>
      <c r="AG36" s="53"/>
      <c r="AH36" s="391" t="str">
        <f>AH3</f>
        <v>P á r o v á n í    z á p a s n í k ů</v>
      </c>
      <c r="AI36" s="391"/>
      <c r="AJ36" s="391"/>
      <c r="AK36" s="391"/>
      <c r="AL36" s="391"/>
      <c r="AM36" s="391"/>
      <c r="AN36" s="391"/>
      <c r="AO36" s="391"/>
      <c r="AP36" s="391"/>
      <c r="AQ36" s="391"/>
      <c r="AR36" s="391"/>
      <c r="AS36" s="391"/>
      <c r="AT36" s="391"/>
      <c r="AU36" s="391"/>
      <c r="AV36" s="391"/>
      <c r="AW36" s="391"/>
      <c r="AX36" s="391"/>
      <c r="AY36" s="391"/>
      <c r="AZ36" s="391"/>
      <c r="BA36" s="391"/>
      <c r="BB36" s="391"/>
      <c r="BC36" s="391"/>
      <c r="BD36" s="391"/>
      <c r="BE36" s="391"/>
      <c r="BH36" s="36" t="str">
        <f>IF(E36=$BQ$2,"",(IF(A36="","",(IF(F36="","",(IF(F36&lt;2,1,0)))))))</f>
        <v/>
      </c>
      <c r="BI36" s="36" t="str">
        <f>IF(H36=$BQ$2,"",(IF(A36="","",(IF(I36="","",(IF(I36&lt;2,1,0)))))))</f>
        <v/>
      </c>
      <c r="BJ36" s="36" t="str">
        <f>IF(K36=$BQ$2,"",(IF(A36="","",(IF(L36="","",(IF(L36&lt;2,1,0)))))))</f>
        <v/>
      </c>
      <c r="BK36" s="36" t="str">
        <f>IF(W36=$BQ$2,"",(IF(A36="","",(IF(X36="","",(IF(X36&lt;2,1,0)))))))</f>
        <v/>
      </c>
      <c r="BP36" s="36" t="str">
        <f>IF(BH36="","",(SUM(BH36:BK36)))</f>
        <v/>
      </c>
      <c r="BV36" s="36">
        <f t="shared" si="5"/>
        <v>999</v>
      </c>
      <c r="BW36" s="36">
        <f t="shared" si="25"/>
        <v>999</v>
      </c>
      <c r="BX36" s="36">
        <f t="shared" si="168"/>
        <v>30</v>
      </c>
      <c r="BY36" s="36">
        <f t="shared" si="26"/>
        <v>999</v>
      </c>
      <c r="CB36" s="53"/>
      <c r="CC36" s="53"/>
      <c r="CD36" s="288" t="str">
        <f>E39</f>
        <v>1. kolo</v>
      </c>
      <c r="CE36" s="288"/>
      <c r="CF36" s="288"/>
      <c r="CG36" s="288"/>
      <c r="CH36" s="288"/>
      <c r="CI36" s="288">
        <f>CB3</f>
        <v>0</v>
      </c>
      <c r="CJ36" s="288"/>
      <c r="CK36" s="288"/>
      <c r="CL36" s="288"/>
      <c r="CM36" s="288"/>
      <c r="CV36" s="36">
        <f>CV35-(FLOOR(CV35/2,1))*2</f>
        <v>0</v>
      </c>
      <c r="DF36" s="36">
        <f>CO6</f>
        <v>3</v>
      </c>
      <c r="GA36" s="152"/>
      <c r="GB36" s="294" t="str">
        <f>GB3</f>
        <v>Tabulka kvalifikace</v>
      </c>
      <c r="GC36" s="294"/>
      <c r="GD36" s="294"/>
      <c r="GE36" s="294"/>
      <c r="GF36" s="294"/>
      <c r="GG36" s="294"/>
      <c r="GH36" s="294"/>
      <c r="GI36" s="294"/>
      <c r="GJ36" s="294"/>
      <c r="GK36" s="294"/>
      <c r="GL36" s="294"/>
      <c r="GM36" s="294"/>
      <c r="GN36" s="294"/>
      <c r="GO36" s="294"/>
      <c r="GP36" s="294"/>
      <c r="GQ36" s="294"/>
      <c r="GR36" s="294"/>
      <c r="GS36" s="294"/>
      <c r="GT36" s="294"/>
      <c r="GU36" s="294"/>
      <c r="GV36" s="294"/>
      <c r="GW36" s="294"/>
      <c r="GX36" s="294"/>
      <c r="GY36" s="294"/>
      <c r="GZ36" s="294"/>
      <c r="HA36" s="153"/>
      <c r="HB36" s="152"/>
      <c r="HE36" s="67" t="str">
        <f>G3</f>
        <v>Počet zápasníků</v>
      </c>
      <c r="HI36" s="36">
        <f>DF36</f>
        <v>3</v>
      </c>
      <c r="HV36" s="138"/>
      <c r="IH36" s="149"/>
      <c r="II36" s="138"/>
      <c r="IQ36" s="152"/>
      <c r="IT36" s="67" t="str">
        <f>HE36</f>
        <v>Počet zápasníků</v>
      </c>
      <c r="IX36" s="36">
        <f>HI36</f>
        <v>3</v>
      </c>
      <c r="JJ36" s="149"/>
      <c r="JX36" s="149"/>
      <c r="JY36" s="138"/>
      <c r="KG36" s="152"/>
      <c r="KJ36" s="67" t="str">
        <f>IT36</f>
        <v>Počet zápasníků</v>
      </c>
      <c r="KN36" s="36">
        <f>IX36</f>
        <v>3</v>
      </c>
      <c r="LA36" s="149"/>
      <c r="LO36" s="149"/>
      <c r="LP36" s="138"/>
      <c r="LX36" s="152"/>
    </row>
    <row r="37" spans="1:336" ht="14.25" customHeight="1" thickBot="1" x14ac:dyDescent="0.3">
      <c r="A37" s="364" t="str">
        <f>'Vážní listina'!HQ37</f>
        <v/>
      </c>
      <c r="B37" s="359" t="str">
        <f>'Vážní listina'!HR37</f>
        <v/>
      </c>
      <c r="C37" s="363" t="str">
        <f>IF(BP37="","",(IF(BP37&gt;1,$BH$2,"")))</f>
        <v/>
      </c>
      <c r="D37" s="361" t="str">
        <f>'Vážní listina'!HK37</f>
        <v/>
      </c>
      <c r="E37" s="343" t="str">
        <f>'Vážní listina'!HL37</f>
        <v/>
      </c>
      <c r="F37" s="31"/>
      <c r="G37" s="32"/>
      <c r="H37" s="343" t="str">
        <f>IF(H5="","",'Vážní listina'!HM37)</f>
        <v/>
      </c>
      <c r="I37" s="31"/>
      <c r="J37" s="32"/>
      <c r="K37" s="343" t="str">
        <f>IF(K5="","",DV37)</f>
        <v/>
      </c>
      <c r="L37" s="31"/>
      <c r="M37" s="32"/>
      <c r="N37" s="334" t="str">
        <f>IF(N5="","",FZ37)</f>
        <v/>
      </c>
      <c r="O37" s="31"/>
      <c r="P37" s="32"/>
      <c r="Q37" s="343" t="str">
        <f>IF(Q5="","",IP37)</f>
        <v/>
      </c>
      <c r="R37" s="31"/>
      <c r="S37" s="32"/>
      <c r="T37" s="343" t="str">
        <f>IF(T5="","",KF37)</f>
        <v/>
      </c>
      <c r="U37" s="31"/>
      <c r="V37" s="32"/>
      <c r="W37" s="337" t="str">
        <f>IF(W5="","",LW37)</f>
        <v/>
      </c>
      <c r="X37" s="31"/>
      <c r="Y37" s="32"/>
      <c r="Z37" s="338" t="str">
        <f>IF(A37="","",(F37+I37+L37+O37+R37+U37+X37))</f>
        <v/>
      </c>
      <c r="AA37" s="335" t="str">
        <f>IF(A37="","",(F38+I38+L38+O38+R38+U38+X38))</f>
        <v/>
      </c>
      <c r="AB37" s="336" t="str">
        <f>IF(A37="","",(G37+J37+M37+P37+S37+V37+Y37))</f>
        <v/>
      </c>
      <c r="AC37" s="356" t="str">
        <f>HF110</f>
        <v/>
      </c>
      <c r="AD37" s="329"/>
      <c r="AE37" s="328" t="str">
        <f>IF(D37="","",(IF('Tabulka finále'!$BK$47=1,(IF('Tabulka finále'!$K$56="","",(IF($AC$5="","",(IF($H$5="","",(FW148))))))),"")))</f>
        <v/>
      </c>
      <c r="AG37" s="53"/>
      <c r="AH37" s="391"/>
      <c r="AI37" s="391"/>
      <c r="AJ37" s="391"/>
      <c r="AK37" s="391"/>
      <c r="AL37" s="391"/>
      <c r="AM37" s="391"/>
      <c r="AN37" s="391"/>
      <c r="AO37" s="391"/>
      <c r="AP37" s="391"/>
      <c r="AQ37" s="391"/>
      <c r="AR37" s="391"/>
      <c r="AS37" s="391"/>
      <c r="AT37" s="391"/>
      <c r="AU37" s="391"/>
      <c r="AV37" s="391"/>
      <c r="AW37" s="391"/>
      <c r="AX37" s="391"/>
      <c r="AY37" s="391"/>
      <c r="AZ37" s="391"/>
      <c r="BA37" s="391"/>
      <c r="BB37" s="391"/>
      <c r="BC37" s="391"/>
      <c r="BD37" s="391"/>
      <c r="BE37" s="391"/>
      <c r="BG37" s="36">
        <f>IF(A37="",0,1)</f>
        <v>0</v>
      </c>
      <c r="BH37" s="36" t="str">
        <f>(IF(E37="","",(IF(E37=$BQ$2,0,(IF(A37="","",(IF(F37="","",(IF(F37&lt;2,1,0))))))))))</f>
        <v/>
      </c>
      <c r="BI37" s="36" t="str">
        <f>IF(H37=$BQ$2,0,(IF(A37="","",(IF(I37="","",(IF(I37&lt;2,1,0)))))))</f>
        <v/>
      </c>
      <c r="BJ37" s="36" t="str">
        <f>IF(L37="","",(IF(L37&lt;2,1,0)))</f>
        <v/>
      </c>
      <c r="BK37" s="36" t="str">
        <f>IF(O37="","",(IF(O37&lt;2,1,0)))</f>
        <v/>
      </c>
      <c r="BL37" s="36" t="str">
        <f>IF(R37="","",(IF(R37&lt;2,1,0)))</f>
        <v/>
      </c>
      <c r="BM37" s="36" t="str">
        <f>IF(U37="","",(IF(U37&lt;2,1,0)))</f>
        <v/>
      </c>
      <c r="BN37" s="36" t="str">
        <f>IF(X37="","",(IF(X37&lt;2,1,0)))</f>
        <v/>
      </c>
      <c r="BP37" s="36" t="str">
        <f>IF(BG37=0,"",(SUM(BH37:BN37)))</f>
        <v/>
      </c>
      <c r="BV37" s="36">
        <f t="shared" si="5"/>
        <v>999</v>
      </c>
      <c r="BW37" s="36">
        <f t="shared" si="25"/>
        <v>999</v>
      </c>
      <c r="BX37" s="36">
        <f t="shared" si="168"/>
        <v>31</v>
      </c>
      <c r="BY37" s="36">
        <f t="shared" si="26"/>
        <v>999</v>
      </c>
      <c r="CB37" s="196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288" t="str">
        <f>CO4</f>
        <v>3. kolo</v>
      </c>
      <c r="CP37" s="288"/>
      <c r="CQ37" s="288"/>
      <c r="CR37" s="288"/>
      <c r="CS37" s="288"/>
      <c r="CT37" s="288"/>
      <c r="CU37" s="288"/>
      <c r="CV37" s="288"/>
      <c r="CW37" s="288"/>
      <c r="CX37" s="318"/>
      <c r="DM37" s="149"/>
      <c r="DV37" s="36" t="str">
        <f>DT22</f>
        <v/>
      </c>
      <c r="DX37" s="152"/>
      <c r="EB37" s="173"/>
      <c r="ED37" s="138"/>
      <c r="EE37" s="288" t="str">
        <f>EE4</f>
        <v>4. kolo</v>
      </c>
      <c r="EF37" s="288"/>
      <c r="EG37" s="288"/>
      <c r="EH37" s="288"/>
      <c r="EI37" s="288"/>
      <c r="EJ37" s="288"/>
      <c r="EK37" s="288"/>
      <c r="EL37" s="288"/>
      <c r="EM37" s="288"/>
      <c r="EN37" s="288"/>
      <c r="EO37" s="288"/>
      <c r="EP37" s="288"/>
      <c r="EQ37" s="288"/>
      <c r="ER37" s="288"/>
      <c r="ES37" s="288"/>
      <c r="ET37" s="288"/>
      <c r="FZ37" s="36" t="str">
        <f>FX22</f>
        <v/>
      </c>
      <c r="GA37" s="152"/>
      <c r="HA37" s="153"/>
      <c r="HB37" s="152"/>
      <c r="HC37" s="138"/>
      <c r="HD37" s="36">
        <f>SUM(BH44:BK44)</f>
        <v>0</v>
      </c>
      <c r="HV37" s="138"/>
      <c r="IH37" s="149"/>
      <c r="II37" s="138"/>
      <c r="IP37" s="36" t="str">
        <f>IN22</f>
        <v/>
      </c>
      <c r="IQ37" s="152"/>
      <c r="JJ37" s="149"/>
      <c r="JX37" s="149"/>
      <c r="JY37" s="138"/>
      <c r="KF37" s="36" t="str">
        <f>KD22</f>
        <v/>
      </c>
      <c r="KG37" s="152"/>
      <c r="KH37" s="194"/>
      <c r="LA37" s="149"/>
      <c r="LO37" s="149"/>
      <c r="LP37" s="138"/>
      <c r="LW37" s="36" t="str">
        <f>LU22</f>
        <v/>
      </c>
      <c r="LX37" s="152"/>
    </row>
    <row r="38" spans="1:336" ht="14.25" customHeight="1" thickBot="1" x14ac:dyDescent="0.3">
      <c r="A38" s="365"/>
      <c r="B38" s="360"/>
      <c r="C38" s="377"/>
      <c r="D38" s="362"/>
      <c r="E38" s="344"/>
      <c r="F38" s="34"/>
      <c r="G38" s="35"/>
      <c r="H38" s="344"/>
      <c r="I38" s="34"/>
      <c r="J38" s="35"/>
      <c r="K38" s="344"/>
      <c r="L38" s="34"/>
      <c r="M38" s="35"/>
      <c r="N38" s="334"/>
      <c r="O38" s="34"/>
      <c r="P38" s="35"/>
      <c r="Q38" s="344"/>
      <c r="R38" s="34"/>
      <c r="S38" s="35"/>
      <c r="T38" s="344"/>
      <c r="U38" s="34"/>
      <c r="V38" s="35"/>
      <c r="W38" s="339"/>
      <c r="X38" s="34"/>
      <c r="Y38" s="35"/>
      <c r="Z38" s="338"/>
      <c r="AA38" s="335"/>
      <c r="AB38" s="336"/>
      <c r="AC38" s="333"/>
      <c r="AD38" s="333"/>
      <c r="AE38" s="328"/>
      <c r="AG38" s="53"/>
      <c r="AH38" s="330" t="str">
        <f>AH5</f>
        <v>3. kolo</v>
      </c>
      <c r="AI38" s="331"/>
      <c r="AJ38" s="331"/>
      <c r="AK38" s="332"/>
      <c r="AM38" s="330" t="str">
        <f>[1]List1!$A$15</f>
        <v>4. kolo</v>
      </c>
      <c r="AN38" s="331"/>
      <c r="AO38" s="331"/>
      <c r="AP38" s="332"/>
      <c r="AR38" s="330" t="str">
        <f>AR5</f>
        <v>5. kolo</v>
      </c>
      <c r="AS38" s="331"/>
      <c r="AT38" s="331"/>
      <c r="AU38" s="332"/>
      <c r="AW38" s="330" t="str">
        <f>[1]List1!$B$16</f>
        <v>6. kolo</v>
      </c>
      <c r="AX38" s="331"/>
      <c r="AY38" s="331"/>
      <c r="AZ38" s="332"/>
      <c r="BB38" s="330" t="str">
        <f>[1]List1!$B$15</f>
        <v>7. kolo</v>
      </c>
      <c r="BC38" s="331"/>
      <c r="BD38" s="331"/>
      <c r="BE38" s="332"/>
      <c r="BH38" s="36" t="str">
        <f>IF(E38=$BQ$2,"",(IF(A38="","",(IF(F38="","",(IF(F38&lt;2,1,0)))))))</f>
        <v/>
      </c>
      <c r="BI38" s="36" t="str">
        <f>IF(H38=$BQ$2,"",(IF(A38="","",(IF(I38="","",(IF(I38&lt;2,1,0)))))))</f>
        <v/>
      </c>
      <c r="BJ38" s="36" t="str">
        <f>IF(K38=$BQ$2,"",(IF(A38="","",(IF(L38="","",(IF(L38&lt;2,1,0)))))))</f>
        <v/>
      </c>
      <c r="BK38" s="36" t="str">
        <f>IF(W38=$BQ$2,"",(IF(A38="","",(IF(X38="","",(IF(X38&lt;2,1,0)))))))</f>
        <v/>
      </c>
      <c r="BP38" s="36" t="str">
        <f>IF(BH38="","",(SUM(BH38:BK38)))</f>
        <v/>
      </c>
      <c r="BV38" s="36">
        <f t="shared" si="5"/>
        <v>999</v>
      </c>
      <c r="BW38" s="36">
        <f t="shared" si="25"/>
        <v>999</v>
      </c>
      <c r="BX38" s="36">
        <f t="shared" si="168"/>
        <v>32</v>
      </c>
      <c r="BY38" s="36">
        <f t="shared" si="26"/>
        <v>999</v>
      </c>
      <c r="CB38" s="138"/>
      <c r="CC38" s="121" t="str">
        <f>CC5</f>
        <v>VL</v>
      </c>
      <c r="CF38" s="36" t="str">
        <f>CF5</f>
        <v>liché</v>
      </c>
      <c r="CK38" s="36" t="str">
        <f>CF38</f>
        <v>liché</v>
      </c>
      <c r="CO38" s="53"/>
      <c r="CP38" s="53"/>
      <c r="CQ38" s="323" t="str">
        <f>CQ5</f>
        <v>počet závodníků</v>
      </c>
      <c r="CR38" s="323"/>
      <c r="CS38" s="323"/>
      <c r="CT38" s="323"/>
      <c r="CU38" s="323"/>
      <c r="CV38" s="36">
        <f>CF35</f>
        <v>3</v>
      </c>
      <c r="CX38" s="149"/>
      <c r="DF38" s="36" t="str">
        <f>DF5</f>
        <v>index</v>
      </c>
      <c r="DM38" s="149"/>
      <c r="DX38" s="321" t="s">
        <v>20</v>
      </c>
      <c r="DY38" s="288"/>
      <c r="DZ38" s="288"/>
      <c r="EA38" s="288"/>
      <c r="EB38" s="322"/>
      <c r="ED38" s="138"/>
      <c r="EE38" s="36" t="str">
        <f>EE5</f>
        <v>VL</v>
      </c>
      <c r="EG38" s="36">
        <v>3</v>
      </c>
      <c r="ER38" s="36">
        <f>SUM(ER40:ER55)</f>
        <v>2</v>
      </c>
      <c r="FI38" s="36" t="str">
        <f>FI5</f>
        <v>index</v>
      </c>
      <c r="GA38" s="152"/>
      <c r="GD38" s="67" t="str">
        <f>GD5</f>
        <v>soupeř</v>
      </c>
      <c r="GM38" s="36" t="str">
        <f>GM5</f>
        <v>B</v>
      </c>
      <c r="GU38" s="36" t="str">
        <f>GU5</f>
        <v>T</v>
      </c>
      <c r="GV38" s="67"/>
      <c r="HA38" s="153"/>
      <c r="HB38" s="152"/>
      <c r="HC38" s="138"/>
      <c r="HD38" s="288" t="str">
        <f>[1]List1!$A$16</f>
        <v>5. kolo</v>
      </c>
      <c r="HE38" s="288"/>
      <c r="HF38" s="288"/>
      <c r="HG38" s="288"/>
      <c r="HH38" s="288"/>
      <c r="HI38" s="288"/>
      <c r="HJ38" s="288"/>
      <c r="HK38" s="288"/>
      <c r="HL38" s="288"/>
      <c r="HM38" s="288"/>
      <c r="HN38" s="288"/>
      <c r="HO38" s="288"/>
      <c r="HP38" s="288"/>
      <c r="HQ38" s="288"/>
      <c r="HR38" s="288"/>
      <c r="HS38" s="288"/>
      <c r="HT38" s="36">
        <f>SUM(HT40:HT57)</f>
        <v>2</v>
      </c>
      <c r="HU38" s="149"/>
      <c r="HV38" s="319" t="str">
        <f>HV5</f>
        <v>chyba</v>
      </c>
      <c r="HW38" s="288"/>
      <c r="HX38" s="288"/>
      <c r="HY38" s="288"/>
      <c r="HZ38" s="288"/>
      <c r="IA38" s="288"/>
      <c r="IB38" s="288"/>
      <c r="IC38" s="288"/>
      <c r="ID38" s="288"/>
      <c r="IE38" s="288"/>
      <c r="IF38" s="288"/>
      <c r="IG38" s="288"/>
      <c r="IH38" s="318"/>
      <c r="II38" s="319" t="str">
        <f>II5</f>
        <v>do tabulky</v>
      </c>
      <c r="IJ38" s="288"/>
      <c r="IK38" s="288"/>
      <c r="IL38" s="288"/>
      <c r="IM38" s="288"/>
      <c r="IN38" s="288"/>
      <c r="IO38" s="288"/>
      <c r="IP38" s="320"/>
      <c r="IQ38" s="152"/>
      <c r="IR38" s="288" t="str">
        <f>[1]List1!$B$16</f>
        <v>6. kolo</v>
      </c>
      <c r="IS38" s="288"/>
      <c r="IT38" s="288"/>
      <c r="IU38" s="288"/>
      <c r="IV38" s="288"/>
      <c r="IW38" s="288"/>
      <c r="IX38" s="288"/>
      <c r="IY38" s="288"/>
      <c r="IZ38" s="288"/>
      <c r="JA38" s="288"/>
      <c r="JB38" s="288"/>
      <c r="JC38" s="288"/>
      <c r="JD38" s="288"/>
      <c r="JE38" s="288"/>
      <c r="JF38" s="288"/>
      <c r="JG38" s="288"/>
      <c r="JH38" s="288"/>
      <c r="JI38" s="36">
        <f>SUM(JI40:JI57)</f>
        <v>2</v>
      </c>
      <c r="JJ38" s="149"/>
      <c r="JK38" s="319" t="str">
        <f>JK5</f>
        <v>chyba</v>
      </c>
      <c r="JL38" s="288"/>
      <c r="JM38" s="288"/>
      <c r="JN38" s="288"/>
      <c r="JO38" s="288"/>
      <c r="JP38" s="288"/>
      <c r="JQ38" s="288"/>
      <c r="JR38" s="288"/>
      <c r="JS38" s="288"/>
      <c r="JT38" s="288"/>
      <c r="JU38" s="288"/>
      <c r="JV38" s="288"/>
      <c r="JW38" s="288"/>
      <c r="JX38" s="318"/>
      <c r="JY38" s="319" t="str">
        <f>JY5</f>
        <v>do tabulky</v>
      </c>
      <c r="JZ38" s="288"/>
      <c r="KA38" s="288"/>
      <c r="KB38" s="288"/>
      <c r="KC38" s="288"/>
      <c r="KD38" s="288"/>
      <c r="KE38" s="288"/>
      <c r="KF38" s="320"/>
      <c r="KG38" s="152"/>
      <c r="KH38" s="194"/>
      <c r="KI38" s="295" t="str">
        <f>KI5</f>
        <v>7. kolo</v>
      </c>
      <c r="KJ38" s="295"/>
      <c r="KK38" s="295"/>
      <c r="KL38" s="295"/>
      <c r="KM38" s="295"/>
      <c r="KN38" s="295"/>
      <c r="KO38" s="295"/>
      <c r="KP38" s="295"/>
      <c r="KQ38" s="295"/>
      <c r="KR38" s="295"/>
      <c r="KS38" s="295"/>
      <c r="KT38" s="295"/>
      <c r="KU38" s="295"/>
      <c r="KV38" s="295"/>
      <c r="KW38" s="295"/>
      <c r="KX38" s="295"/>
      <c r="KZ38" s="36">
        <f>SUM(KZ40:KZ57)</f>
        <v>2</v>
      </c>
      <c r="LA38" s="149"/>
      <c r="LB38" s="319" t="str">
        <f>LB5</f>
        <v>chyba</v>
      </c>
      <c r="LC38" s="288"/>
      <c r="LD38" s="288"/>
      <c r="LE38" s="288"/>
      <c r="LF38" s="288"/>
      <c r="LG38" s="288"/>
      <c r="LH38" s="288"/>
      <c r="LI38" s="288"/>
      <c r="LJ38" s="288"/>
      <c r="LK38" s="288"/>
      <c r="LL38" s="288"/>
      <c r="LM38" s="288"/>
      <c r="LN38" s="288"/>
      <c r="LO38" s="318"/>
      <c r="LP38" s="319" t="str">
        <f>LP5</f>
        <v>do tabulky</v>
      </c>
      <c r="LQ38" s="288"/>
      <c r="LR38" s="288"/>
      <c r="LS38" s="288"/>
      <c r="LT38" s="288"/>
      <c r="LU38" s="288"/>
      <c r="LV38" s="288"/>
      <c r="LW38" s="320"/>
      <c r="LX38" s="152"/>
    </row>
    <row r="39" spans="1:336" ht="24.9" customHeight="1" thickTop="1" thickBot="1" x14ac:dyDescent="0.3">
      <c r="A39" s="3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340" t="str">
        <f>CONCATENATE([1]List1!$A$12)</f>
        <v>1. kolo</v>
      </c>
      <c r="F39" s="341"/>
      <c r="G39" s="342"/>
      <c r="H39" s="340" t="str">
        <f>CONCATENATE([1]List1!$A$13)</f>
        <v>2. kolo</v>
      </c>
      <c r="I39" s="341"/>
      <c r="J39" s="342"/>
      <c r="K39" s="340" t="str">
        <f>CONCATENATE([1]List1!$A$14)</f>
        <v>3. kolo</v>
      </c>
      <c r="L39" s="341"/>
      <c r="M39" s="342"/>
      <c r="N39" s="340" t="str">
        <f>CONCATENATE([1]List1!$A$15)</f>
        <v>4. kolo</v>
      </c>
      <c r="O39" s="341"/>
      <c r="P39" s="342"/>
      <c r="Q39" s="340" t="str">
        <f>CONCATENATE([1]List1!$A$16)</f>
        <v>5. kolo</v>
      </c>
      <c r="R39" s="341"/>
      <c r="S39" s="342"/>
      <c r="T39" s="340" t="str">
        <f>CONCATENATE([1]List1!$B$16)</f>
        <v>6. kolo</v>
      </c>
      <c r="U39" s="341"/>
      <c r="V39" s="342"/>
      <c r="W39" s="340" t="str">
        <f>CONCATENATE([1]List1!$B$15)</f>
        <v>7. kolo</v>
      </c>
      <c r="X39" s="341"/>
      <c r="Y39" s="342"/>
      <c r="Z39" s="347" t="str">
        <f>CONCATENATE([1]List1!$A$17)</f>
        <v>výsledky              B   T   O</v>
      </c>
      <c r="AA39" s="348"/>
      <c r="AB39" s="349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53"/>
      <c r="AH39" s="138" t="str">
        <f>IF($H$5="x",AH6,"")</f>
        <v>los</v>
      </c>
      <c r="AI39" s="67" t="str">
        <f>IF($H$5="x",AI6,"")</f>
        <v>soupeř</v>
      </c>
      <c r="AJ39" s="53"/>
      <c r="AK39" s="172"/>
      <c r="AL39" s="53"/>
      <c r="AM39" s="138" t="str">
        <f>IF($K$5="x",AH39,"")</f>
        <v>los</v>
      </c>
      <c r="AN39" s="53" t="str">
        <f>IF($K$5="x",AI39,"")</f>
        <v>soupeř</v>
      </c>
      <c r="AO39" s="53"/>
      <c r="AP39" s="172"/>
      <c r="AQ39" s="53"/>
      <c r="AR39" s="138" t="str">
        <f>IF($Q$5="x",AM39,"")</f>
        <v/>
      </c>
      <c r="AS39" s="53" t="str">
        <f>IF($Q$5="x",AN39,"")</f>
        <v/>
      </c>
      <c r="AT39" s="53"/>
      <c r="AU39" s="172"/>
      <c r="AV39" s="53"/>
      <c r="AW39" s="138" t="str">
        <f>IF($Q$5="x",AR39,"")</f>
        <v/>
      </c>
      <c r="AX39" s="53" t="str">
        <f>IF($Q$5="x",AS39,"")</f>
        <v/>
      </c>
      <c r="AY39" s="53"/>
      <c r="AZ39" s="172"/>
      <c r="BA39" s="53"/>
      <c r="BB39" s="138" t="str">
        <f>IF($T$5="x",AH39,"")</f>
        <v/>
      </c>
      <c r="BC39" s="53" t="str">
        <f>IF($T$5="x",AS39,"")</f>
        <v/>
      </c>
      <c r="BD39" s="53"/>
      <c r="BE39" s="172"/>
      <c r="BF39" s="53"/>
      <c r="BG39" s="36" t="s">
        <v>69</v>
      </c>
      <c r="BV39" s="36" t="str">
        <f>BV6</f>
        <v>VL</v>
      </c>
      <c r="BX39" s="36">
        <f>'Vážní listina'!HF40</f>
        <v>1</v>
      </c>
      <c r="CB39" s="138"/>
      <c r="CC39" s="123">
        <f>'Vážní listina'!IY40</f>
        <v>1</v>
      </c>
      <c r="CF39" s="36">
        <f>CF35-((FLOOR(CF35/2,1))*2)</f>
        <v>1</v>
      </c>
      <c r="CK39" s="36">
        <f>CK35-((FLOOR(CK35/2,1))*2)</f>
        <v>1</v>
      </c>
      <c r="CO39" s="36">
        <f>LARGE(D7:D38,1)</f>
        <v>3</v>
      </c>
      <c r="CU39" s="170" t="str">
        <f>CU6</f>
        <v>VL</v>
      </c>
      <c r="CV39" s="171">
        <f>$CV$35-((FLOOR(CV35/2,1))*2)</f>
        <v>0</v>
      </c>
      <c r="CX39" s="149"/>
      <c r="DA39" s="36" t="str">
        <f>DA6</f>
        <v>los</v>
      </c>
      <c r="DB39" s="36">
        <f t="shared" ref="DB39:DL39" si="181">DB6</f>
        <v>1</v>
      </c>
      <c r="DC39" s="36">
        <f t="shared" si="181"/>
        <v>2</v>
      </c>
      <c r="DD39" s="36" t="str">
        <f>DD6</f>
        <v>xxx</v>
      </c>
      <c r="DF39" s="36" t="str">
        <f t="shared" si="181"/>
        <v>los</v>
      </c>
      <c r="DG39" s="36">
        <f t="shared" si="181"/>
        <v>1</v>
      </c>
      <c r="DH39" s="36">
        <f t="shared" si="181"/>
        <v>2</v>
      </c>
      <c r="DI39" s="36" t="str">
        <f>DI6</f>
        <v>los</v>
      </c>
      <c r="DJ39" s="36" t="str">
        <f>DJ6</f>
        <v>xxx</v>
      </c>
      <c r="DL39" s="67" t="str">
        <f t="shared" si="181"/>
        <v>chyba</v>
      </c>
      <c r="DM39" s="149"/>
      <c r="DO39" s="36" t="str">
        <f>DO6</f>
        <v>los</v>
      </c>
      <c r="DP39" s="36" t="str">
        <f>DP6</f>
        <v>soupeř</v>
      </c>
      <c r="DX39" s="152"/>
      <c r="EB39" s="173"/>
      <c r="EC39" s="36" t="str">
        <f>DF39</f>
        <v>los</v>
      </c>
      <c r="ED39" s="142"/>
      <c r="EE39" s="36">
        <f>CV39</f>
        <v>0</v>
      </c>
      <c r="EF39" s="36">
        <f>SUM(EF40:EF55)</f>
        <v>2</v>
      </c>
      <c r="EH39" s="36" t="str">
        <f>EH6</f>
        <v>index</v>
      </c>
      <c r="EK39" s="36" t="str">
        <f>EK6</f>
        <v>small</v>
      </c>
      <c r="EL39" s="36" t="str">
        <f>EL6</f>
        <v>index</v>
      </c>
      <c r="EQ39" s="170" t="str">
        <f>EQ6</f>
        <v>VL</v>
      </c>
      <c r="ER39" s="171">
        <f>ER38-((FLOOR(ER38/2,1))*2)</f>
        <v>0</v>
      </c>
      <c r="EV39" s="36" t="str">
        <f>EV6</f>
        <v>los</v>
      </c>
      <c r="EW39" s="36">
        <f>EW6</f>
        <v>1</v>
      </c>
      <c r="EX39" s="36">
        <f>EX6</f>
        <v>2</v>
      </c>
      <c r="EY39" s="36">
        <f>EY6</f>
        <v>3</v>
      </c>
      <c r="EZ39" s="36" t="str">
        <f>EZ6</f>
        <v>xxx</v>
      </c>
      <c r="FB39" s="36" t="str">
        <f>FB6</f>
        <v>los</v>
      </c>
      <c r="FD39" s="36">
        <f>FD6</f>
        <v>1</v>
      </c>
      <c r="FE39" s="36">
        <f>FE6</f>
        <v>2</v>
      </c>
      <c r="FF39" s="36">
        <f>FF6</f>
        <v>3</v>
      </c>
      <c r="FG39" s="36" t="str">
        <f>FG6</f>
        <v>xxx</v>
      </c>
      <c r="FI39" s="36" t="str">
        <f>FI6</f>
        <v>los</v>
      </c>
      <c r="FJ39" s="36" t="str">
        <f>FJ6</f>
        <v>xxx</v>
      </c>
      <c r="FL39" s="36" t="str">
        <f>FL6</f>
        <v>chyba</v>
      </c>
      <c r="FS39" s="85"/>
      <c r="FT39" s="85"/>
      <c r="FU39" s="85"/>
      <c r="FV39" s="85"/>
      <c r="FW39" s="85"/>
      <c r="FX39" s="85"/>
      <c r="FY39" s="85"/>
      <c r="FZ39" s="85"/>
      <c r="GB39" s="138"/>
      <c r="GC39" s="36" t="str">
        <f>FI39</f>
        <v>los</v>
      </c>
      <c r="GD39" s="36">
        <v>1</v>
      </c>
      <c r="GE39" s="36">
        <v>2</v>
      </c>
      <c r="GF39" s="36">
        <v>3</v>
      </c>
      <c r="GG39" s="36">
        <v>4</v>
      </c>
      <c r="GH39" s="36">
        <v>5</v>
      </c>
      <c r="GI39" s="36">
        <v>6</v>
      </c>
      <c r="GJ39" s="36">
        <v>7</v>
      </c>
      <c r="GK39" s="36" t="str">
        <f>GK6</f>
        <v>xxx</v>
      </c>
      <c r="GL39" s="179"/>
      <c r="GM39" s="36">
        <v>1</v>
      </c>
      <c r="GN39" s="36">
        <v>2</v>
      </c>
      <c r="GO39" s="36">
        <v>3</v>
      </c>
      <c r="GP39" s="36">
        <v>4</v>
      </c>
      <c r="GQ39" s="36">
        <v>5</v>
      </c>
      <c r="GR39" s="36">
        <v>6</v>
      </c>
      <c r="GS39" s="36">
        <v>7</v>
      </c>
      <c r="GU39" s="36">
        <v>1</v>
      </c>
      <c r="GV39" s="36">
        <v>2</v>
      </c>
      <c r="GW39" s="36">
        <v>3</v>
      </c>
      <c r="GX39" s="36">
        <v>4</v>
      </c>
      <c r="GY39" s="36">
        <v>5</v>
      </c>
      <c r="GZ39" s="36">
        <v>6</v>
      </c>
      <c r="HA39" s="153">
        <v>7</v>
      </c>
      <c r="HB39" s="152"/>
      <c r="HC39" s="138"/>
      <c r="HD39" s="180" t="s">
        <v>22</v>
      </c>
      <c r="HE39" s="36" t="str">
        <f>HE6</f>
        <v>los</v>
      </c>
      <c r="HF39" s="36">
        <f t="shared" ref="HF39:HP39" si="182">HF6</f>
        <v>1</v>
      </c>
      <c r="HG39" s="36">
        <f t="shared" si="182"/>
        <v>2</v>
      </c>
      <c r="HH39" s="36">
        <f t="shared" si="182"/>
        <v>3</v>
      </c>
      <c r="HI39" s="36">
        <f t="shared" si="182"/>
        <v>4</v>
      </c>
      <c r="HK39" s="36" t="str">
        <f t="shared" si="182"/>
        <v>xxx</v>
      </c>
      <c r="HM39" s="36" t="str">
        <f t="shared" si="182"/>
        <v>sen.</v>
      </c>
      <c r="HN39" s="36" t="str">
        <f t="shared" si="182"/>
        <v>small</v>
      </c>
      <c r="HP39" s="36" t="str">
        <f t="shared" si="182"/>
        <v>VL</v>
      </c>
      <c r="HQ39" s="36">
        <f>ER39</f>
        <v>0</v>
      </c>
      <c r="HS39" s="170" t="str">
        <f>HS6</f>
        <v>VL</v>
      </c>
      <c r="HT39" s="171">
        <f>HT38-((FLOOR(HT38/2,1))*2)</f>
        <v>0</v>
      </c>
      <c r="HV39" s="138"/>
      <c r="HX39" s="36">
        <f>HX6</f>
        <v>1</v>
      </c>
      <c r="HY39" s="36">
        <f t="shared" ref="HY39:IF39" si="183">HY6</f>
        <v>2</v>
      </c>
      <c r="HZ39" s="36">
        <f t="shared" si="183"/>
        <v>3</v>
      </c>
      <c r="IA39" s="36">
        <f t="shared" si="183"/>
        <v>4</v>
      </c>
      <c r="IC39" s="36" t="str">
        <f t="shared" si="183"/>
        <v>los</v>
      </c>
      <c r="ID39" s="36" t="str">
        <f t="shared" si="183"/>
        <v>chyba</v>
      </c>
      <c r="IE39" s="36" t="str">
        <f t="shared" si="183"/>
        <v>VL</v>
      </c>
      <c r="IF39" s="36" t="str">
        <f t="shared" si="183"/>
        <v>xxx</v>
      </c>
      <c r="IH39" s="149"/>
      <c r="II39" s="138"/>
      <c r="IL39" s="36" t="str">
        <f>IL6</f>
        <v>soupeř</v>
      </c>
      <c r="IM39" s="36" t="str">
        <f>IM6</f>
        <v>los</v>
      </c>
      <c r="IQ39" s="152"/>
      <c r="IT39" s="36" t="str">
        <f>IT6</f>
        <v>los</v>
      </c>
      <c r="IU39" s="36">
        <f t="shared" ref="IU39:JH39" si="184">IU6</f>
        <v>1</v>
      </c>
      <c r="IV39" s="36">
        <f t="shared" si="184"/>
        <v>2</v>
      </c>
      <c r="IW39" s="36">
        <f t="shared" si="184"/>
        <v>3</v>
      </c>
      <c r="IX39" s="36">
        <f t="shared" si="184"/>
        <v>4</v>
      </c>
      <c r="IY39" s="36">
        <f t="shared" si="184"/>
        <v>5</v>
      </c>
      <c r="IZ39" s="36" t="str">
        <f t="shared" si="184"/>
        <v>xxx</v>
      </c>
      <c r="JB39" s="36" t="str">
        <f t="shared" si="184"/>
        <v>sen.</v>
      </c>
      <c r="JC39" s="36" t="str">
        <f t="shared" si="184"/>
        <v>small</v>
      </c>
      <c r="JE39" s="36" t="str">
        <f t="shared" si="184"/>
        <v>VL</v>
      </c>
      <c r="JF39" s="36">
        <f>HT39</f>
        <v>0</v>
      </c>
      <c r="JH39" s="170" t="str">
        <f t="shared" si="184"/>
        <v>VL</v>
      </c>
      <c r="JI39" s="171">
        <f>JI38-((FLOOR(JI38/2,1))*2)</f>
        <v>0</v>
      </c>
      <c r="JJ39" s="149"/>
      <c r="JM39" s="36">
        <f>JM6</f>
        <v>1</v>
      </c>
      <c r="JN39" s="36">
        <f t="shared" ref="JN39:JV39" si="185">JN6</f>
        <v>2</v>
      </c>
      <c r="JO39" s="36">
        <f t="shared" si="185"/>
        <v>3</v>
      </c>
      <c r="JP39" s="36">
        <f t="shared" si="185"/>
        <v>4</v>
      </c>
      <c r="JQ39" s="36">
        <f t="shared" si="185"/>
        <v>5</v>
      </c>
      <c r="JR39" s="36">
        <f t="shared" si="185"/>
        <v>6</v>
      </c>
      <c r="JS39" s="36" t="str">
        <f t="shared" si="185"/>
        <v>los</v>
      </c>
      <c r="JT39" s="36" t="str">
        <f t="shared" si="185"/>
        <v>chyba</v>
      </c>
      <c r="JU39" s="36" t="str">
        <f t="shared" si="185"/>
        <v>VL</v>
      </c>
      <c r="JV39" s="36" t="str">
        <f t="shared" si="185"/>
        <v>xxx</v>
      </c>
      <c r="JX39" s="149"/>
      <c r="JY39" s="138"/>
      <c r="KB39" s="36" t="str">
        <f>KB6</f>
        <v>soupeř</v>
      </c>
      <c r="KC39" s="36" t="str">
        <f>KC6</f>
        <v>los</v>
      </c>
      <c r="KF39" s="153"/>
      <c r="KG39" s="175"/>
      <c r="KH39" s="195"/>
      <c r="KI39" s="184"/>
      <c r="KJ39" s="83" t="str">
        <f>KJ6</f>
        <v>los</v>
      </c>
      <c r="KK39" s="83">
        <f t="shared" ref="KK39:KY39" si="186">KK6</f>
        <v>1</v>
      </c>
      <c r="KL39" s="83">
        <f t="shared" si="186"/>
        <v>2</v>
      </c>
      <c r="KM39" s="83">
        <f t="shared" si="186"/>
        <v>3</v>
      </c>
      <c r="KN39" s="83">
        <f t="shared" si="186"/>
        <v>4</v>
      </c>
      <c r="KO39" s="83">
        <f t="shared" si="186"/>
        <v>5</v>
      </c>
      <c r="KP39" s="83">
        <f t="shared" si="186"/>
        <v>6</v>
      </c>
      <c r="KQ39" s="83" t="str">
        <f t="shared" si="186"/>
        <v>xxx</v>
      </c>
      <c r="KR39" s="83"/>
      <c r="KS39" s="83" t="str">
        <f t="shared" si="186"/>
        <v>sen.</v>
      </c>
      <c r="KT39" s="83" t="str">
        <f t="shared" si="186"/>
        <v>small</v>
      </c>
      <c r="KU39" s="83"/>
      <c r="KV39" s="83" t="str">
        <f t="shared" si="186"/>
        <v>VL</v>
      </c>
      <c r="KW39" s="83">
        <f t="shared" si="186"/>
        <v>0</v>
      </c>
      <c r="KX39" s="83">
        <f t="shared" si="186"/>
        <v>0</v>
      </c>
      <c r="KY39" s="170" t="str">
        <f t="shared" si="186"/>
        <v>VL</v>
      </c>
      <c r="KZ39" s="171">
        <f>KZ38-((FLOOR(KZ38/2,1))*2)</f>
        <v>0</v>
      </c>
      <c r="LA39" s="143"/>
      <c r="LB39" s="142"/>
      <c r="LC39" s="83"/>
      <c r="LD39" s="83">
        <f>LD6</f>
        <v>1</v>
      </c>
      <c r="LE39" s="83">
        <f t="shared" ref="LE39:LM39" si="187">LE6</f>
        <v>2</v>
      </c>
      <c r="LF39" s="83">
        <f t="shared" si="187"/>
        <v>3</v>
      </c>
      <c r="LG39" s="83">
        <f t="shared" si="187"/>
        <v>4</v>
      </c>
      <c r="LH39" s="83">
        <f t="shared" si="187"/>
        <v>5</v>
      </c>
      <c r="LI39" s="83">
        <f t="shared" si="187"/>
        <v>6</v>
      </c>
      <c r="LJ39" s="83" t="str">
        <f t="shared" si="187"/>
        <v>los</v>
      </c>
      <c r="LK39" s="83" t="str">
        <f t="shared" si="187"/>
        <v>chyba</v>
      </c>
      <c r="LL39" s="83" t="str">
        <f t="shared" si="187"/>
        <v>VL</v>
      </c>
      <c r="LM39" s="83" t="str">
        <f t="shared" si="187"/>
        <v>xxx</v>
      </c>
      <c r="LN39" s="83"/>
      <c r="LO39" s="143"/>
      <c r="LP39" s="142"/>
      <c r="LQ39" s="83"/>
      <c r="LR39" s="83"/>
      <c r="LS39" s="83" t="str">
        <f>LS6</f>
        <v>soupeř</v>
      </c>
      <c r="LT39" s="83" t="str">
        <f>LT6</f>
        <v>los</v>
      </c>
      <c r="LU39" s="83"/>
      <c r="LV39" s="83"/>
      <c r="LW39" s="181"/>
      <c r="LX39" s="152"/>
    </row>
    <row r="40" spans="1:336" ht="14.25" customHeight="1" thickTop="1" thickBot="1" x14ac:dyDescent="0.3">
      <c r="A40" s="376" t="str">
        <f>'Vážní listina'!HQ39</f>
        <v>Jílek Filip</v>
      </c>
      <c r="B40" s="373" t="str">
        <f>'Vážní listina'!HR39</f>
        <v>Čech.</v>
      </c>
      <c r="C40" s="372" t="str">
        <f>IF(BP40="","",(IF(BP40&gt;1,$BH$2,"")))</f>
        <v>xxx</v>
      </c>
      <c r="D40" s="370">
        <f>'Vážní listina'!HK39</f>
        <v>4</v>
      </c>
      <c r="E40" s="371">
        <f>'Vážní listina'!HL39</f>
        <v>5</v>
      </c>
      <c r="F40" s="24">
        <v>0</v>
      </c>
      <c r="G40" s="25"/>
      <c r="H40" s="345">
        <f>IF(H5="","",'Vážní listina'!HM39)</f>
        <v>6</v>
      </c>
      <c r="I40" s="24">
        <v>0</v>
      </c>
      <c r="J40" s="25"/>
      <c r="K40" s="345" t="str">
        <f>IF(K5="","",DV40)</f>
        <v/>
      </c>
      <c r="L40" s="24"/>
      <c r="M40" s="25"/>
      <c r="N40" s="345" t="str">
        <f>IF(N5="","",FZ40)</f>
        <v/>
      </c>
      <c r="O40" s="24"/>
      <c r="P40" s="25"/>
      <c r="Q40" s="345" t="str">
        <f>IF(Q5="","",IP40)</f>
        <v/>
      </c>
      <c r="R40" s="24"/>
      <c r="S40" s="25"/>
      <c r="T40" s="345" t="str">
        <f>IF(T5="","",KF40)</f>
        <v/>
      </c>
      <c r="U40" s="24"/>
      <c r="V40" s="25"/>
      <c r="W40" s="350" t="str">
        <f>IF(W5="","",LW40)</f>
        <v/>
      </c>
      <c r="X40" s="24"/>
      <c r="Y40" s="25"/>
      <c r="Z40" s="358">
        <f>IF(A40="","",(F40+I40+L40+O40+R40+U40+X40))</f>
        <v>0</v>
      </c>
      <c r="AA40" s="385">
        <f>IF(A40="","",(F41+I41+L41+O41+R41+U41+X41))</f>
        <v>4</v>
      </c>
      <c r="AB40" s="386">
        <f>IF(A40="","",(G40+J40+M40+P40+S40+V40+Y40))</f>
        <v>0</v>
      </c>
      <c r="AC40" s="387" t="str">
        <f>HF112</f>
        <v>F</v>
      </c>
      <c r="AD40" s="326"/>
      <c r="AE40" s="388">
        <f>IF(D40="","",(IF('Tabulka finále'!$BK$47=1,(IF('Tabulka finále'!$K$56="","",(IF($AC$5="","",(IF($H$5="","",(FW150))))))),"")))</f>
        <v>5</v>
      </c>
      <c r="AG40" s="251">
        <v>1</v>
      </c>
      <c r="AH40" s="138">
        <f>IF($K$5="","",(IF($H$5="x",CU40,"")))</f>
        <v>5</v>
      </c>
      <c r="AI40" s="176">
        <v>6</v>
      </c>
      <c r="AJ40" s="36">
        <f t="shared" ref="AJ40:AJ47" si="188">IF($K$5="","",(IF(EB40="",(IF(AH40="","",(IF(CX40=$BQ$2,$BQ$2,IF((AI40)="","",AI40))))),EB40)))</f>
        <v>6</v>
      </c>
      <c r="AK40" s="149" t="str">
        <f>IF($K$5="","",(DM40))</f>
        <v/>
      </c>
      <c r="AM40" s="138">
        <f>IF(AI40="","",(IF($N$5="x",EQ40,"")))</f>
        <v>5</v>
      </c>
      <c r="AN40" s="176"/>
      <c r="AO40" s="36" t="str">
        <f t="shared" ref="AO40:AO51" si="189">IF($N$5="","",(IF(FR40="",(IF(AM40="","",(IF(FO40=$BQ$2,$BQ$2,IF((AN40)="","",AN40))))),FR40)))</f>
        <v/>
      </c>
      <c r="AP40" s="149" t="str">
        <f>IF($N$5="","",(IF($H$5="","",(FM40))))</f>
        <v/>
      </c>
      <c r="AR40" s="138" t="str">
        <f>IF($Q$5="x",HS40,"")</f>
        <v/>
      </c>
      <c r="AS40" s="176"/>
      <c r="AT40" s="36" t="str">
        <f>IF(AS40="","",(IF($Q$5="","",(IL40))))</f>
        <v/>
      </c>
      <c r="AU40" s="149" t="str">
        <f>IF($Q$5="","",(IH40))</f>
        <v/>
      </c>
      <c r="AW40" s="138" t="str">
        <f>IF($T$5="x",JH40,"")</f>
        <v/>
      </c>
      <c r="AX40" s="176"/>
      <c r="AY40" s="36" t="str">
        <f>IF(AW40="","",(IF($T$5="","",(KB40))))</f>
        <v/>
      </c>
      <c r="AZ40" s="149" t="str">
        <f t="shared" ref="AZ40:AZ49" si="190">IF(AX40="","",(IF($T$5="","",(JX40))))</f>
        <v/>
      </c>
      <c r="BB40" s="138" t="str">
        <f>IF(AX40="","",(IF($W$5="x",KY40,"")))</f>
        <v/>
      </c>
      <c r="BC40" s="176"/>
      <c r="BD40" s="36" t="str">
        <f>IF($W$5="","",(LS40))</f>
        <v/>
      </c>
      <c r="BE40" s="149" t="str">
        <f>IF($W$5="","",(LO40))</f>
        <v/>
      </c>
      <c r="BG40" s="36">
        <f>IF(A40="",0,1)</f>
        <v>1</v>
      </c>
      <c r="BH40" s="36">
        <f>(IF(F40="","",(IF(F40&lt;2,1,0))))</f>
        <v>1</v>
      </c>
      <c r="BI40" s="36">
        <f>(IF(I40="","",(IF(I40&lt;2,1,0))))</f>
        <v>1</v>
      </c>
      <c r="BJ40" s="36" t="str">
        <f>(IF(L40="","",(IF(L40&lt;2,1,0))))</f>
        <v/>
      </c>
      <c r="BK40" s="36" t="str">
        <f>(IF(O40="","",(IF(O40&lt;2,1,0))))</f>
        <v/>
      </c>
      <c r="BL40" s="36" t="str">
        <f>IF(R40="","",(IF(R40&lt;2,1,0)))</f>
        <v/>
      </c>
      <c r="BM40" s="36" t="str">
        <f>IF(U40="","",(IF(U40&lt;2,1,0)))</f>
        <v/>
      </c>
      <c r="BN40" s="36" t="str">
        <f>IF(X40="","",(IF(X40&lt;2,1,0)))</f>
        <v/>
      </c>
      <c r="BP40" s="36">
        <f>IF(BG40=0,"",(SUM(BH40:BN40)))</f>
        <v>2</v>
      </c>
      <c r="BR40" s="36">
        <f>BP40</f>
        <v>2</v>
      </c>
      <c r="BS40" s="36">
        <f>D40</f>
        <v>4</v>
      </c>
      <c r="BT40" s="121" t="str">
        <f>IF(SUM(BH40,BI40)=2,$BH$2,"")</f>
        <v>xxx</v>
      </c>
      <c r="BV40" s="36">
        <f t="shared" ref="BV40:BV72" si="191">IF(BH40="",$BK$2,(IF(C40=$BH$2,$BK$2,D40)))</f>
        <v>999</v>
      </c>
      <c r="BW40" s="36">
        <f t="shared" ref="BW40:BW71" si="192">IF(BH40="",$BK$2,(IF(C40=$BH$2,$BK$2,BP40)))</f>
        <v>999</v>
      </c>
      <c r="BX40" s="36">
        <v>1</v>
      </c>
      <c r="BY40" s="36">
        <f>SMALL($BV$40:$BV$71,BX40)</f>
        <v>5</v>
      </c>
      <c r="CB40" s="121">
        <v>1</v>
      </c>
      <c r="CC40" s="36">
        <f>IF((D40)="",0,D40)</f>
        <v>4</v>
      </c>
      <c r="CD40" s="36">
        <f>IF(CC40=0,0,1)</f>
        <v>1</v>
      </c>
      <c r="CE40" s="36">
        <f>IF(CD40=CD41,0,1)*$CF$39</f>
        <v>0</v>
      </c>
      <c r="CF40" s="36">
        <f>IF(($CE$40*$CF$39)=1,$CC$40,IF(($CE$41*$CF$39)=1,$CC$41,IF(($CE$42*$CF$39)=1,$CC$42,IF(($CE$43*$CF$39)=1,$CC$43,IF(($CE$44*$CF$39)=1,$CC$44,IF(($CE$45*$CF$39)=1,$CC$45,IF(($CE$46*$CF$39)=1,$CC$46,IF(($CE$47*$CF$39)=1,$CC$47,0))))))))</f>
        <v>6</v>
      </c>
      <c r="CG40" s="36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36">
        <f>IF(CD40*CE40=1,0,(IF(CD40=1,(IF(CF39=1,CF40+CG40,CC40)),0)))</f>
        <v>6</v>
      </c>
      <c r="CI40" s="36">
        <f>IF(CH40=0,0,1)</f>
        <v>1</v>
      </c>
      <c r="CJ40" s="36">
        <f>IF(CI40=CI41,0,1)*$CK$39</f>
        <v>0</v>
      </c>
      <c r="CK40" s="36">
        <f>IF((CJ40*CK39)=1,CH40,IF((CJ41*CK39)=1,CH41,IF((CJ42*CK39)=1,CH42,IF((CJ43*CK39)=1,CH43,IF((CJ44*CK39)=1,CH44,IF((CJ45*CK39)=1,CH45,IF((CJ46*CK39)=1,CH46,IF((CJ47*CK39)=1,CH47,0))))))))</f>
        <v>5</v>
      </c>
      <c r="CL40" s="36">
        <f>IF((CJ48*CK39)=1,CH48,IF((CJ49*CK39)=1,CH49,IF((CJ50*CK39)=1,CH50,IF((CJ51*CK39)=1,CH51,IF((CJ52*CK39)=1,CH52,IF((CJ53*CK39)=1,CH53,IF((CJ54*CK39)=1,CH54,IF((CJ55*CK55)=1,CH47,0))))))))</f>
        <v>0</v>
      </c>
      <c r="CM40" s="36">
        <f>IF(CI40*CJ40=1,0,(IF(CI40=1,(IF(CK39=1,CK40+CL40,CH40)),0)))</f>
        <v>5</v>
      </c>
      <c r="CO40" s="36">
        <f>IF(CC40=0,0,1)</f>
        <v>1</v>
      </c>
      <c r="CP40" s="36" t="str">
        <f>IF(CM40=0,"",(INDEX($BT$40:$BT$55,CM40-$CO$6)))</f>
        <v/>
      </c>
      <c r="CQ40" s="36">
        <f>IF(CM40=0,$BK$2,(IF(CP40=$BH$2,$BK$2,CM40)))</f>
        <v>5</v>
      </c>
      <c r="CR40" s="36">
        <f>IF(CP40="",CB40,$BK$2)</f>
        <v>1</v>
      </c>
      <c r="CS40" s="36">
        <f>SMALL($CR$40:$CR$55,CB40)</f>
        <v>1</v>
      </c>
      <c r="CT40" s="36">
        <f t="shared" ref="CT40:CT55" si="193">IF(CS40=$BK$2,"",(INDEX($CQ$40:$CQ$55,CS40)))</f>
        <v>5</v>
      </c>
      <c r="CU40" s="36">
        <f>IF(CT40=$BK$2,"",CT40)</f>
        <v>5</v>
      </c>
      <c r="CV40" s="36">
        <f>IF(CU40="",0,1)</f>
        <v>1</v>
      </c>
      <c r="CW40" s="36">
        <f>IF(CV40=CV41,0,1)*$CV$39</f>
        <v>0</v>
      </c>
      <c r="CX40" s="149">
        <f>IF(CW40=0,CU40,$BQ$2)</f>
        <v>5</v>
      </c>
      <c r="DA40" s="36">
        <f>D40</f>
        <v>4</v>
      </c>
      <c r="DB40" s="36">
        <f>E40</f>
        <v>5</v>
      </c>
      <c r="DC40" s="36">
        <f>H40</f>
        <v>6</v>
      </c>
      <c r="DD40" s="36" t="str">
        <f>IF((C40)="","",C40)</f>
        <v>xxx</v>
      </c>
      <c r="DF40" s="36">
        <f>IF((ISNUMBER(AH40)),(INDEX($DA$40:$DA$55,AH40-$DF$36)),"")</f>
        <v>5</v>
      </c>
      <c r="DG40" s="36">
        <f>IF((ISNUMBER(AH40)),(INDEX($DB$40:$DB$55,AH40-$DF$36)),"")</f>
        <v>4</v>
      </c>
      <c r="DH40" s="36" t="str">
        <f>IF((ISNUMBER(AH40)),(INDEX($DC$40:$DC$55,AH40-$DF$36)),"")</f>
        <v>VL</v>
      </c>
      <c r="DI40" s="36" t="str">
        <f t="shared" ref="DI40:DI55" si="194">IF(DF40="","",(IF(AI40=DF40,$DF$6,"")))</f>
        <v/>
      </c>
      <c r="DJ40" s="36" t="str">
        <f>IF((ISNUMBER(AI40)),(INDEX($BT$40:$BT$55,AI40-$DF$36)),"")</f>
        <v/>
      </c>
      <c r="DL40" s="36" t="str">
        <f t="shared" ref="DL40:DL55" si="195">IF(DF40="","",(IF(AI40=DG40,$DF$2,IF(AI40=DH40,$DF$2,""))))</f>
        <v/>
      </c>
      <c r="DM40" s="149" t="str">
        <f>IF(DI40="",(IF(DJ40="",IF(DL40="","",$DL$6),$DJ$6)),$DI$6)</f>
        <v/>
      </c>
      <c r="DN40" s="36">
        <f>DA40</f>
        <v>4</v>
      </c>
      <c r="DO40" s="36">
        <f>AH40</f>
        <v>5</v>
      </c>
      <c r="DP40" s="36">
        <f>AJ40</f>
        <v>6</v>
      </c>
      <c r="DR40" s="36" t="str">
        <f>IF(DN40=$DO$40,$DP$40,IF(DN40=$DO$41,$DP$41,IF(DN40=$DO$42,$DP$42,IF(DN40=$DO$43,$DP$43,IF(DN40=$DO$44,$DP$44,IF(DN40=$DO$45,$DP$45,IF(DN40=$DO$46,$DP$46,IF(DN40=$DO$47,$DP$47,""))))))))</f>
        <v/>
      </c>
      <c r="DS40" s="36" t="str">
        <f>IF(DN40=$DO$49,$DP$49,IF(DN40=$DO$50,$DP$50,IF(DN40=$DO$51,$DP$51,IF(DN40=$DO$52,$DP$52,IF(DN40=$DO$53,$DP$53,IF(DN40=$DO$54,$DP$54,IF(DN40=$DO$55,$DP$55,IF(DN40=$DO$48,$DP$48,""))))))))</f>
        <v/>
      </c>
      <c r="DT40" s="36" t="str">
        <f>IF(DR40="",DS40,DR40)</f>
        <v/>
      </c>
      <c r="DV40" s="36" t="str">
        <f>DT40</f>
        <v/>
      </c>
      <c r="DX40" s="152">
        <f>AH40</f>
        <v>5</v>
      </c>
      <c r="DY40" s="36">
        <f>IF(AI40="","",AI40)</f>
        <v>6</v>
      </c>
      <c r="DZ40" s="36">
        <f>IF(DX40="","",(IF(DY40="",(IF(DX40=$DY$40,$DX$40,IF(DX40=$DY$41,$DX$41,IF(DX40=$DY$42,$DX$42,IF(DX40=$DY$43,$DX$43,IF(DX40=$DY$44,$DX$44,IF(DX40=$DY$45,$DX$45,IF(DX40=$DY$46,$DX$46,IF(DX40=$DY$47,$DX$47,""))))))))),DY40)))</f>
        <v>6</v>
      </c>
      <c r="EA40" s="36" t="str">
        <f>IF(DX40="","",(IF(DX40=$DY$48,$DX$48,IF(DX40=$DY$49,$DX$49,IF(DX40=$DY$50,$DX$50,IF(DX40=$DY$51,$DX$51,IF(DX40=$DY$52,$DX$52,IF(DX40=$DY$53,$DX$53,IF(DX40=$DY$54,$DX$54,IF(DX40=$DY$55,$DX$55,""))))))))))</f>
        <v/>
      </c>
      <c r="EB40" s="173">
        <f>IF(DZ40="",EA40,DZ40)</f>
        <v>6</v>
      </c>
      <c r="EC40" s="36">
        <f>D40</f>
        <v>4</v>
      </c>
      <c r="ED40" s="121">
        <v>1</v>
      </c>
      <c r="EE40" s="36">
        <f>CU40</f>
        <v>5</v>
      </c>
      <c r="EF40" s="36">
        <f>IF(EE40="",0,1)</f>
        <v>1</v>
      </c>
      <c r="EG40" s="36" t="str">
        <f>IF(SUM($BH$40:$BJ$40)=2,$BH$2,"")</f>
        <v>xxx</v>
      </c>
      <c r="EH40" s="36" t="str">
        <f>IF(EE40="","",(INDEX(EG40:EG55,EE40-$CO$39)))</f>
        <v/>
      </c>
      <c r="EJ40" s="36">
        <f>IF(EE40="",$BK$2,(IF(EH40=$BH$2,$BK$2,ED40)))</f>
        <v>1</v>
      </c>
      <c r="EK40" s="36">
        <f>SMALL(EJ40:EJ55,ED40)</f>
        <v>1</v>
      </c>
      <c r="EL40" s="36">
        <f>IF(EK40=$BK$2,"",(INDEX($EE$40:$EE$55,EK40)))</f>
        <v>5</v>
      </c>
      <c r="EM40" s="36">
        <f>IF(EK40=EK41,1,0)</f>
        <v>0</v>
      </c>
      <c r="EN40" s="36">
        <f>IF(EM40=EM41,0,1)</f>
        <v>0</v>
      </c>
      <c r="EO40" s="36" t="str">
        <f>IF(EL40="","",(IF((EN40*CV39)=1,EL40,IF((EN41*CV39)=1,EL41,IF((EN42*CV39)=1,EL42,IF((EN43*CV39)=1,EL43,IF((EN44*CV39)=1,EL44,IF((EN45*CV39)=1,EL45,IF((EN46*CV39)=1,EL46,IF((EN47*CV39)=1,EL47,""))))))))))</f>
        <v/>
      </c>
      <c r="EP40" s="36" t="str">
        <f>IF(EL40="","",(IF((EN48*CV39)=1,EL48,IF((EN49*CV39)=1,EL49,IF((EN50*CV39)=1,EL50,IF((EN51*CV39)=1,EL51,IF((EN52*CV39)=1,EL52,IF((EN53*CV39)=1,EL53,IF((EN54*CV39)=1,EL54,IF((EN55*CV39)=1,EL55,""))))))))))</f>
        <v/>
      </c>
      <c r="EQ40" s="36">
        <f>IF(EL40="","",(IF(CV39=0,EL40,(SUM(EO40:EP40)))))</f>
        <v>5</v>
      </c>
      <c r="ER40" s="36">
        <f>IF(EQ40="",0,1)</f>
        <v>1</v>
      </c>
      <c r="ES40" s="36">
        <f>IF(ER40=ER41,0,1)</f>
        <v>0</v>
      </c>
      <c r="ET40" s="149" t="str">
        <f>IF((ES40*$ER$39)=1,$EQ$6,"")</f>
        <v/>
      </c>
      <c r="EV40" s="36">
        <f>D40</f>
        <v>4</v>
      </c>
      <c r="EW40" s="36">
        <f>E40</f>
        <v>5</v>
      </c>
      <c r="EX40" s="36">
        <f>H40</f>
        <v>6</v>
      </c>
      <c r="EY40" s="36" t="str">
        <f>K40</f>
        <v/>
      </c>
      <c r="EZ40" s="36" t="str">
        <f>EG40</f>
        <v>xxx</v>
      </c>
      <c r="FB40" s="36">
        <f>EQ40</f>
        <v>5</v>
      </c>
      <c r="FC40" s="36" t="str">
        <f>IF(AN40="","",AN40)</f>
        <v/>
      </c>
      <c r="FD40" s="36">
        <f t="shared" ref="FD40:FD55" si="196">IF(FB40="","",(INDEX($EW$40:$EW$55,FB40-$DF$36)))</f>
        <v>4</v>
      </c>
      <c r="FE40" s="36" t="str">
        <f t="shared" ref="FE40:FE55" si="197">IF(FB40="","",(INDEX($EX$40:$EX$55,FB40-$DF$36)))</f>
        <v>VL</v>
      </c>
      <c r="FF40" s="36">
        <f t="shared" ref="FF40:FF55" si="198">IF(FB40="","",(INDEX($EY$40:$EY$55,FB40-$DF$36)))</f>
        <v>6</v>
      </c>
      <c r="FG40" s="36" t="str">
        <f t="shared" ref="FG40:FG54" si="199">IF(FB40="","",(INDEX($EZ$40:$EZ$54,FB40-$DF$36)))</f>
        <v/>
      </c>
      <c r="FI40" s="36" t="str">
        <f>IF(FB40="","",(IF(FB40=FC40,$FI$39,"")))</f>
        <v/>
      </c>
      <c r="FL40" s="36" t="str">
        <f>IF(FC40="","",(IF(FB40="","",(IF(FC40=FD40,$DF$2,IF(FC40=FE40,$DF$2,IF(FC40=FF40,$DF$2,"")))))))</f>
        <v/>
      </c>
      <c r="FM40" s="36" t="str">
        <f>CONCATENATE(FI40,FJ40,FK40,FL40)</f>
        <v/>
      </c>
      <c r="FN40" s="36">
        <f>AM40</f>
        <v>5</v>
      </c>
      <c r="FO40" s="36" t="str">
        <f>IF(AN40="","",AN40)</f>
        <v/>
      </c>
      <c r="FP40" s="36" t="str">
        <f>IF(FN40="","",(IF(FO40="",(IF(FN40=FO40,FN40,IF(FN40=FO41,FN41,IF(FN40=FO42,FN42,IF(FN40=FO43,FN43,IF(FN40=FO44,FN44,IF(FN40=FO45,FN45,IF(FN40=FO46,FN46,IF(FN40=FO47,FN47,""))))))))),FO40)))</f>
        <v/>
      </c>
      <c r="FQ40" s="36" t="str">
        <f>IF(FN40="","",(IF(FN40=FO48,FN48,IF(FN40=FO49,FN49,IF(FN40=FO50,FN50,IF(FN40=FO51,FN51,IF(FN40=FO52,FN52,IF(FN40=FO53,FN53,IF(FN40=FO54,FN54,IF(FN40=FO55,FN55,""))))))))))</f>
        <v/>
      </c>
      <c r="FR40" s="173" t="str">
        <f>IF(ET40="",(IF(FP40="",FQ40,FP40)),ET40)</f>
        <v/>
      </c>
      <c r="FT40" s="36">
        <f>1+DF36</f>
        <v>4</v>
      </c>
      <c r="FV40" s="36" t="str">
        <f>IF(FT40=$FN$40,$FR$40,IF(FT40=$FN$41,$FR$41,IF(FT40=$FN$42,$FR$42,IF(FT40=$FN$43,$FR$43,IF(FT40=$FN$44,$FR$44,IF(FT40=$FN$45,$FR$45,IF(FT40=$FN$46,$FR$46,IF(FT40=$FN$47,$FR$47,""))))))))</f>
        <v/>
      </c>
      <c r="FW40" s="36" t="str">
        <f>IF(FT40=FN48,FR48,IF(FT40=FN49,FR49,IF(FT40=FN50,FR50,IF(FT40=FN51,FR51,IF(FT40=FN52,FR52,IF(FT40=FN53,FR53,IF(FT40=FN54,FR54,IF(FT40=FN55,FR55,""))))))))</f>
        <v/>
      </c>
      <c r="FX40" s="36" t="str">
        <f>CONCATENATE(FW40,FV40)</f>
        <v/>
      </c>
      <c r="FZ40" s="36" t="str">
        <f>FX40</f>
        <v/>
      </c>
      <c r="GA40" s="152"/>
      <c r="GB40" s="121">
        <v>1</v>
      </c>
      <c r="GC40" s="36">
        <f>IF(D40="","",D40)</f>
        <v>4</v>
      </c>
      <c r="GD40" s="36">
        <f>IF(E40="","",E40)</f>
        <v>5</v>
      </c>
      <c r="GE40" s="36">
        <f>IF(H40="","",H40)</f>
        <v>6</v>
      </c>
      <c r="GF40" s="36" t="str">
        <f>IF(K40="","",K40)</f>
        <v/>
      </c>
      <c r="GG40" s="36" t="str">
        <f>IF(N40="","",N40)</f>
        <v/>
      </c>
      <c r="GH40" s="36" t="str">
        <f>IF(Q40="","",Q40)</f>
        <v/>
      </c>
      <c r="GI40" s="36" t="str">
        <f>IF(T40="","",T40)</f>
        <v/>
      </c>
      <c r="GJ40" s="36" t="str">
        <f>IF(W40="","",W40)</f>
        <v/>
      </c>
      <c r="GK40" s="36" t="str">
        <f>IF(C40="","",C40)</f>
        <v>xxx</v>
      </c>
      <c r="GM40" s="36">
        <f>IF(F40="","",F40)</f>
        <v>0</v>
      </c>
      <c r="GN40" s="36">
        <f>IF(I40="","",I40)</f>
        <v>0</v>
      </c>
      <c r="GO40" s="36" t="str">
        <f>IF(L40="","",L40)</f>
        <v/>
      </c>
      <c r="GP40" s="36" t="str">
        <f>IF(O40="","",O40)</f>
        <v/>
      </c>
      <c r="GQ40" s="36" t="str">
        <f>IF(R40="","",R40)</f>
        <v/>
      </c>
      <c r="GR40" s="36" t="str">
        <f>IF(U40="","",U40)</f>
        <v/>
      </c>
      <c r="GS40" s="36" t="str">
        <f>IF(X40="","",X40)</f>
        <v/>
      </c>
      <c r="GU40" s="36">
        <f>IF(F41="","",F41)</f>
        <v>4</v>
      </c>
      <c r="GV40" s="36">
        <f>IF(I41="","",I41)</f>
        <v>0</v>
      </c>
      <c r="GW40" s="36" t="str">
        <f>IF(L41="","",L41)</f>
        <v/>
      </c>
      <c r="GX40" s="36" t="str">
        <f>IF(O41="","",O41)</f>
        <v/>
      </c>
      <c r="GY40" s="36" t="str">
        <f>IF(R41="","",R41)</f>
        <v/>
      </c>
      <c r="GZ40" s="36" t="str">
        <f>IF(U41="","",U41)</f>
        <v/>
      </c>
      <c r="HA40" s="153" t="str">
        <f>IF(X41="","",X41)</f>
        <v/>
      </c>
      <c r="HB40" s="183">
        <f>D40</f>
        <v>4</v>
      </c>
      <c r="HC40" s="121">
        <v>1</v>
      </c>
      <c r="HD40" s="36" t="str">
        <f>IF(SUM($BH40:$BK40)&gt;=2,$BH$2,"")</f>
        <v>xxx</v>
      </c>
      <c r="HE40" s="36">
        <f>FN40</f>
        <v>5</v>
      </c>
      <c r="HF40" s="36">
        <f t="shared" ref="HF40:HF55" si="200">IF((HE40)="","",(INDEX($GD$40:$GD$55,HE40-$HI$36)))</f>
        <v>4</v>
      </c>
      <c r="HG40" s="36" t="str">
        <f t="shared" ref="HG40:HG55" si="201">IF(HE40="","",(INDEX($GE$40:$GE$55,HE40-$HI$36)))</f>
        <v>VL</v>
      </c>
      <c r="HH40" s="36">
        <f t="shared" ref="HH40:HH55" si="202">IF(HE40="","",(INDEX($GF$40:$GF$55,HE40-$HI$36)))</f>
        <v>6</v>
      </c>
      <c r="HI40" s="36" t="str">
        <f t="shared" ref="HI40:HI55" si="203">IF(HE40="","",(INDEX($GG$40:$GG$55,HE40-$HI$36)))</f>
        <v/>
      </c>
      <c r="HK40" s="36" t="str">
        <f>IF(HE40="","",(INDEX($HD$40:$HD$55,HE40-$HI$36)))</f>
        <v/>
      </c>
      <c r="HM40" s="36">
        <f>IF(HE40="",$BK$2,(IF(HK40=$BH$2,$BK$2,HC40)))</f>
        <v>1</v>
      </c>
      <c r="HN40" s="36">
        <f>SMALL($HM$40:$HM$55,HC40)</f>
        <v>1</v>
      </c>
      <c r="HO40" s="36">
        <f t="shared" ref="HO40:HO55" si="204">IF(HN40=$BK$2,"",(INDEX($HE$40:$HE$55,HN40)))</f>
        <v>5</v>
      </c>
      <c r="HQ40" s="36">
        <f>VALUE(IF(HN40=HN41,1,0))</f>
        <v>0</v>
      </c>
      <c r="HR40" s="36">
        <f>IF(HQ40=HQ41,0,1)</f>
        <v>0</v>
      </c>
      <c r="HS40" s="36">
        <f>IF(HO40="","",(IF(HQ39=0,HO40,(IF((HR40*$HQ$39)=1,HO40,IF((HR41*$HQ$39)=1,HO41,IF((HR42*$HQ$39)=1,HO42,IF((HR43*$HQ$39)=1,HO43,IF((HR44*$HQ$39)=1,HO44,IF((HR45*$HQ$39)=1,HO45,IF((HR46*$HQ$39)=1,HO46,IF((HR47*$HQ$39)=1,HO47,""))))))))))))</f>
        <v>5</v>
      </c>
      <c r="HT40" s="36">
        <f>IF(HS40="",0,1)</f>
        <v>1</v>
      </c>
      <c r="HU40" s="36" t="str">
        <f>IF(AS40="","",(IF((HR40*$HT$39)=1,$HS$6,"")))</f>
        <v/>
      </c>
      <c r="HV40" s="138"/>
      <c r="HW40" s="36" t="str">
        <f>IF(AS40="","",AS40)</f>
        <v/>
      </c>
      <c r="HX40" s="36">
        <f>IF(HS40="","",(INDEX($GD$40:$GD$55,$HS40-$HI$36)))</f>
        <v>4</v>
      </c>
      <c r="HY40" s="36" t="str">
        <f>IF(HS40="","",(INDEX($GE$40:$GE$55,$HS40-$HI$36)))</f>
        <v>VL</v>
      </c>
      <c r="HZ40" s="36">
        <f>IF(HS40="","",(INDEX($GF$40:$GF$55,$HS40-$HI$36)))</f>
        <v>6</v>
      </c>
      <c r="IA40" s="36" t="str">
        <f>IF(HS40="","",(INDEX($GG$40:$GG$55,$HS40-$HI$36)))</f>
        <v/>
      </c>
      <c r="IC40" s="36" t="str">
        <f>IF(HS40="","",(IF(HW40=HS40,$IC$6,"")))</f>
        <v/>
      </c>
      <c r="ID40" s="36" t="str">
        <f>IF(HW40="","",(IF(HW40=HX40,$ID$6,IF(HW40=HY40,$ID$6,IF(HW40=HZ40,$ID$6,IF(HW40=IA40,$ID$6,""))))))</f>
        <v/>
      </c>
      <c r="IE40" s="36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36">
        <f>IF(HS40="","",(IF(HW40="",0,(IF(HW40=$HS$40,1,IF(HW40=$HS$41,1,IF(HW40=$HS$42,1,IF(HW40=$HS$43,1,IF(HW40=$HS$44,1,IF(HW40=$HS$45,1,IF(HW40=$HS$46,1,IF(HW40=$HS$47,1,0)*0)))))))))))</f>
        <v>0</v>
      </c>
      <c r="IG40" s="36" t="str">
        <f>IF(HW40="","",(IF(IF40=0,$IF$6,"")))</f>
        <v/>
      </c>
      <c r="IH40" s="149" t="str">
        <f>IF(IC40="",IF(ID40="",IF(IG40="",IF(IE40="","",IE40),IG40),ID40),IC40)</f>
        <v/>
      </c>
      <c r="II40" s="138"/>
      <c r="IJ40" s="36" t="str">
        <f>IF(HS40="","",(IF(HS40=$HW$40,$HS$40,IF(HS40=$HW$41,$HS$41,IF(HS40=$HW$42,$HS$42,IF(HS40=$HW$43,$HS$43,IF(HS40=$HW$44,$HS$44,IF(HS40=$HW$45,$HS$45,IF(HS40=$HW$46,$HS$46,IF(HS40=$HW$47,$HS$47,""))))))))))</f>
        <v/>
      </c>
      <c r="IL40" s="36" t="str">
        <f>IF(HU40="",IF(HW40="",IF(IJ40="","",IJ40),HW40),HU40)</f>
        <v/>
      </c>
      <c r="IM40" s="36">
        <f>HS40</f>
        <v>5</v>
      </c>
      <c r="IN40" s="36" t="str">
        <f>IF(HB40=$IM$40,$IL$40,IF(HB40=$IM$41,$IL$41,IF(HB40=$IM$42,$IL$42,IF(HB40=$IM$43,$IL$43,IF(HB40=$IM$44,$IL$44,IF(HB40=$IM$45,$IL$45,IF(HB40=$IM$46,$IL$46,IF(HB40=$IM$47,$IL$47,""))))))))</f>
        <v/>
      </c>
      <c r="IO40" s="36" t="str">
        <f>IF(HB40=$IM$48,$IL$48,IF(HB40=$IM$49,$IL$49,IF(HB40=$IM$50,$IL$50,IF(HB40=$IM$51,$IL$51,IF(HB40=$IM$52,$IL$52,IF(HB40=$IM$53,$IL$53,IF(HB40=$IM$54,$IL$54,IF(HB40=$IM$55,$IL$55,""))))))))</f>
        <v/>
      </c>
      <c r="IP40" s="36" t="str">
        <f>IN40</f>
        <v/>
      </c>
      <c r="IQ40" s="183">
        <f>D40</f>
        <v>4</v>
      </c>
      <c r="IR40" s="121">
        <v>1</v>
      </c>
      <c r="IS40" s="36" t="str">
        <f>IF(SUM($BH40:$BL40)&gt;1,$BH$2,"")</f>
        <v>xxx</v>
      </c>
      <c r="IT40" s="36">
        <f>HS40</f>
        <v>5</v>
      </c>
      <c r="IU40" s="36">
        <f>IF(IT40="","",(INDEX($GD$40:$GD$55,IT40-$IX$36)))</f>
        <v>4</v>
      </c>
      <c r="IV40" s="36" t="str">
        <f>IF($IT40="","",(INDEX($GE$40:$GE$55,$IT40-$IX$36)))</f>
        <v>VL</v>
      </c>
      <c r="IW40" s="36">
        <f>IF($IT40="","",(INDEX($GF$40:$GF$55,$IT40-$IX$36)))</f>
        <v>6</v>
      </c>
      <c r="IX40" s="36" t="str">
        <f>IF($IT40="","",(INDEX($GG$40:$GG$55,$IT40-$IX$36)))</f>
        <v/>
      </c>
      <c r="IY40" s="36" t="str">
        <f>IF($IT40="","",(INDEX($GH$40:$GH$55,$IT40-$IX$36)))</f>
        <v/>
      </c>
      <c r="IZ40" s="36" t="str">
        <f>IF($IT40="","",(INDEX($IS$40:$IS$55,$IT40-$IX$36)))</f>
        <v/>
      </c>
      <c r="JB40" s="36">
        <f>IF(IT40="",$BK$2,(IF(IZ40=$BH$2,$BK$2,IR40)))</f>
        <v>1</v>
      </c>
      <c r="JC40" s="36">
        <f>SMALL($JB$40:$JB$55,IR40)</f>
        <v>1</v>
      </c>
      <c r="JD40" s="36">
        <f t="shared" ref="JD40:JD55" si="205">IF(JC40=$BK$2,"",(INDEX($IT$40:$IT$55,JC40)))</f>
        <v>5</v>
      </c>
      <c r="JF40" s="36">
        <f>VALUE(IF(JC40=JC41,1,0))</f>
        <v>0</v>
      </c>
      <c r="JG40" s="36">
        <f>IF(JF40=JF41,0,1)</f>
        <v>0</v>
      </c>
      <c r="JH40" s="36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5</v>
      </c>
      <c r="JI40" s="36">
        <f>IF(JH40="",0,1)</f>
        <v>1</v>
      </c>
      <c r="JJ40" s="149" t="str">
        <f>IF(HW40="","",(IF((JG40*$HT$39)=1,$HS$6,"")))</f>
        <v/>
      </c>
      <c r="JL40" s="36" t="str">
        <f>IF(AX40="","",AX40)</f>
        <v/>
      </c>
      <c r="JM40" s="36">
        <f>IF(JH40="","",(INDEX($GD$40:$GD$55,$JH40-$IX$36)))</f>
        <v>4</v>
      </c>
      <c r="JN40" s="36" t="str">
        <f>IF(JH40="","",(INDEX($GE$40:$GE$55,$JH40-$IX$36)))</f>
        <v>VL</v>
      </c>
      <c r="JO40" s="36">
        <f>IF(JH40="","",(INDEX($GF$40:$GF$55,$JH40-$IX$36)))</f>
        <v>6</v>
      </c>
      <c r="JP40" s="36" t="str">
        <f>IF(JH40="","",(INDEX($GG$40:$GG$55,$JH40-$IX$36)))</f>
        <v/>
      </c>
      <c r="JQ40" s="36" t="str">
        <f>IF(JH40="","",(INDEX($GH$40:$GH$55,$JH40-$IX$36)))</f>
        <v/>
      </c>
      <c r="JS40" s="36" t="str">
        <f>IF(JH40="","",(IF(JL40=JH40,$IC$6,"")))</f>
        <v/>
      </c>
      <c r="JT40" s="36" t="str">
        <f>IF(JH40="","",(IF(JL40=JM40,$ID$6,IF(JL40=JN40,$ID$6,IF(JL40=JO40,$ID$6,IF(JL40=JP40,$ID$6,IF(JL40=JQ40,$ID$6,"")))))))</f>
        <v>chyba</v>
      </c>
      <c r="JU40" s="36" t="str">
        <f>IF(JH40="","",(IF(JL40=$JH$40,$JJ$40,IF(JL40=$JH$41,$JJ$41,IF(JL40=$JH$42,$JJ$42,IF(JL40=$JH$43,$JJ$43,IF(JL40=$JH$44,$JJ$44,IF(JL40=$JH$45,$JJ$45,IF(JL40=$JH$46,$JJ$46,IF(JL40=$JH$47,$JJ$47,""))))))))))</f>
        <v/>
      </c>
      <c r="JV40" s="36">
        <f>IF(JH40="","",(IF(JL40="",0,(IF(JL40=$JH$40,1,IF(JL40=$JH$41,1,IF(JL40=$JH$42,1,IF(JL40=$JH$43,1,IF(JL40=$JH$44,1,IF(JL40=$JH$45,1,IF(JL40=$JH$46,1,IF(JL40=$JH$47,1,0)*0)))))))))))</f>
        <v>0</v>
      </c>
      <c r="JW40" s="36" t="str">
        <f>IF(JL40="","",(IF(JV40=0,$JV$6,"")))</f>
        <v/>
      </c>
      <c r="JX40" s="149" t="str">
        <f>IF(JS40="",IF(JT40="",IF(JW40="",IF(JU40="","",JU40),JW40),JT40),JS40)</f>
        <v>chyba</v>
      </c>
      <c r="JY40" s="138"/>
      <c r="JZ40" s="36" t="str">
        <f>IF(JH40="","",(IF(JH40=$JL$40,$JH$40,IF(JH40=$JL$41,$JH$41,IF(JH40=$JL$42,$JH$42,IF(JH40=$JL$43,$JH$43,IF(JH40=$JL$44,$JH$44,IF(JH40=$JL$45,$JH$45,IF(JH40=$JL$46,$JH$46,IF(JH40=$JL$47,$JH$47,""))))))))))</f>
        <v/>
      </c>
      <c r="KB40" s="36" t="str">
        <f>IF(HW40="","",(IF(JJ40="",IF(JL40="",IF(JZ40="","",JZ40),JL40),JJ40)))</f>
        <v/>
      </c>
      <c r="KC40" s="36">
        <f>JH40</f>
        <v>5</v>
      </c>
      <c r="KD40" s="36" t="str">
        <f>IF(IQ40="","",(IF(IQ40=$KC$40,$KB$40,IF(IQ40=$KC$41,$KB$41,IF(IQ40=$KC$42,$KB$42,IF(IQ40=$KC$43,$KB$43,IF(IQ40=$KC$44,$KB$44,IF(IQ40=$KC$45,$KB$45,IF(IQ40=$KC$46,$KB$46,IF(IQ40=$KC$47,$KB$47,""))))))))))</f>
        <v/>
      </c>
      <c r="KF40" s="36" t="str">
        <f>KD40</f>
        <v/>
      </c>
      <c r="KG40" s="183">
        <f>D40</f>
        <v>4</v>
      </c>
      <c r="KH40" s="121">
        <v>1</v>
      </c>
      <c r="KI40" s="36" t="str">
        <f>IF(SUM($BH40:$BM40)&gt;1,$BH$2,"")</f>
        <v>xxx</v>
      </c>
      <c r="KJ40" s="85">
        <f>JH40</f>
        <v>5</v>
      </c>
      <c r="KK40" s="85">
        <f>IF(KJ40="","",(INDEX($GD$40:$GD$55,KJ40-$KN$36)))</f>
        <v>4</v>
      </c>
      <c r="KL40" s="85" t="str">
        <f>IF($KJ40="","",(INDEX($GE$40:$GE$55,$KJ40-$KN$36)))</f>
        <v>VL</v>
      </c>
      <c r="KM40" s="85">
        <f>IF($KJ40="","",(INDEX($GF$40:$GF$55,$KJ40-$KN$36)))</f>
        <v>6</v>
      </c>
      <c r="KN40" s="85" t="str">
        <f>IF($KJ40="","",(INDEX($GG$40:$GG$55,$KJ40-$KN$36)))</f>
        <v/>
      </c>
      <c r="KO40" s="85" t="str">
        <f>IF($KJ40="","",(INDEX($GH$40:$GH$55,$KJ40-$KN$36)))</f>
        <v/>
      </c>
      <c r="KP40" s="85" t="str">
        <f>IF($KJ40="","",(INDEX($GI$40:$GI$55,$KJ40-$KN$36)))</f>
        <v/>
      </c>
      <c r="KQ40" s="85" t="str">
        <f>IF($KJ40="","",(INDEX($KI$40:$KI$55,$KJ40-$KN$36)))</f>
        <v/>
      </c>
      <c r="KR40" s="85"/>
      <c r="KS40" s="85">
        <f>IF(KJ40="",$BK$2,(IF(KQ40=$BH$2,$BK$2,KH40)))</f>
        <v>1</v>
      </c>
      <c r="KT40" s="85">
        <f>SMALL($KS$40:$KS$55,KH40)</f>
        <v>1</v>
      </c>
      <c r="KU40" s="85">
        <f t="shared" ref="KU40:KU55" si="206">IF(KT40=$BK$2,"",(INDEX($KJ$40:$KJ$55,KT40)))</f>
        <v>5</v>
      </c>
      <c r="KV40" s="85"/>
      <c r="KW40" s="85">
        <f>VALUE(IF(KT40=KT41,1,0))</f>
        <v>0</v>
      </c>
      <c r="KX40" s="85">
        <f>IF(KW40=KW41,0,1)</f>
        <v>0</v>
      </c>
      <c r="KY40" s="85">
        <f>IF(KU40="","",(IF(KW39=0,KU40,(IF((KX40*$KW$6)=1,KU40,IF((KX41*$KW$6)=1,KU41,IF((KX42*$KW$6)=1,KU42,IF((KX43*$KW$6)=1,KU43,IF((KX44*$KW$6)=1,KU44,IF((KX45*$KW$6)=1,KU45,IF((KX46*$KW$6)=1,KU46,IF((KX47*$KW$6)=1,KU47,""))))))))))))</f>
        <v>5</v>
      </c>
      <c r="KZ40" s="85">
        <f>IF(KY40="",0,1)</f>
        <v>1</v>
      </c>
      <c r="LA40" s="141" t="str">
        <f>IF((KX40*$KZ$38)=1,$HS$6,"")</f>
        <v/>
      </c>
      <c r="LB40" s="85"/>
      <c r="LC40" s="85" t="str">
        <f>IF(BC40="","",BC40)</f>
        <v/>
      </c>
      <c r="LD40" s="85">
        <f>IF(KY40="","",(INDEX($GD$40:$GD$55,$KY40-$KN$36)))</f>
        <v>4</v>
      </c>
      <c r="LE40" s="85" t="str">
        <f>IF(KY40="","",(INDEX($GE$40:$GE$55,$KY40-$KN$36)))</f>
        <v>VL</v>
      </c>
      <c r="LF40" s="85">
        <f>IF(KY40="","",(INDEX($GF$40:$GF$55,$KY40-$KN$36)))</f>
        <v>6</v>
      </c>
      <c r="LG40" s="85" t="str">
        <f>IF(KY40="","",(INDEX($GG$40:$GG$55,$KY40-$KN$36)))</f>
        <v/>
      </c>
      <c r="LH40" s="85" t="str">
        <f>IF(KY40="","",(INDEX($GH$40:$GH$55,$KY40-$KN$36)))</f>
        <v/>
      </c>
      <c r="LI40" s="85" t="str">
        <f>IF(KY40="","",(INDEX($GI$40:$GI$55,$KY40-$KN$36)))</f>
        <v/>
      </c>
      <c r="LJ40" s="85" t="str">
        <f>IF(KY40="","",(IF(LC40=KY40,$LJ$6,"")))</f>
        <v/>
      </c>
      <c r="LK40" s="85" t="str">
        <f t="shared" ref="LK40:LK45" si="207">IF(LC40="","",(IF(KY40="","",(IF(LC40=LD40,$ID$6,IF(LC40=LE40,$ID$6,IF(LC40=LF40,$ID$6,IF(LC40=LG40,$ID$6,IF(LC40=LH40,$ID$6,IF(LC40=LI40,$ID$6,""))))))))))</f>
        <v/>
      </c>
      <c r="LL40" s="85" t="str">
        <f>IF(KY40="","",(IF(LC40=$KY$40,$LA$40,IF(LC40=$KY$41,$LA$41,IF(LC40=$KY$42,$LA$42,IF(LC40=$KY$43,$LA$43,IF(LC40=$KY$44,$LA$44,IF(LC40=$KY$45,$LA$45,IF(LC40=$KY$46,$LA$46,IF(LC40=$KY$47,$LA$47,""))))))))))</f>
        <v/>
      </c>
      <c r="LM40" s="85">
        <f>IF(KY40="","",(IF(LC40="",0,(IF(LC40=$KY$40,1,IF(LC40=$KY$41,1,IF(LC40=$KY$42,1,IF(LC40=$KY$43,1,IF(LC40=$KY$44,1,IF(LC40=$KY$45,1,IF(LC40=$KY$46,1,IF(LC40=$KY$47,1,0)*0)))))))))))</f>
        <v>0</v>
      </c>
      <c r="LN40" s="85" t="str">
        <f>IF(LC40="","",(IF(LM40=0,$LM$6,"")))</f>
        <v/>
      </c>
      <c r="LO40" s="141" t="str">
        <f>IF(LJ40="",IF(LK40="",IF(LN40="",IF(LL40="","",LL40),LN40),LK40),LJ40)</f>
        <v/>
      </c>
      <c r="LP40" s="140"/>
      <c r="LQ40" s="85" t="str">
        <f>IF(KY40="","",(IF(KY40=$LC$40,$KY$40,IF(KY40=$LC$41,$KY$41,IF(KY40=$LC$42,$KY$42,IF(KY40=$LC$43,$KY$43,IF(KY40=$LC$44,$KY$44,IF(KY40=$LC$45,$KY$45,IF(KY40=$LC$46,$KY$46,IF(KY40=$LC$47,$KY$47,""))))))))))</f>
        <v/>
      </c>
      <c r="LR40" s="85"/>
      <c r="LS40" s="85" t="str">
        <f>IF(LA40="",IF(LC40="",IF(LQ40="","",LQ40),LC40),LA40)</f>
        <v/>
      </c>
      <c r="LT40" s="85">
        <f>KY40</f>
        <v>5</v>
      </c>
      <c r="LU40" s="85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85"/>
      <c r="LW40" s="182" t="str">
        <f>LU40</f>
        <v/>
      </c>
      <c r="LX40" s="152"/>
    </row>
    <row r="41" spans="1:336" ht="14.25" customHeight="1" thickBot="1" x14ac:dyDescent="0.3">
      <c r="A41" s="375"/>
      <c r="B41" s="374"/>
      <c r="C41" s="363"/>
      <c r="D41" s="362"/>
      <c r="E41" s="334"/>
      <c r="F41" s="29">
        <v>4</v>
      </c>
      <c r="G41" s="28"/>
      <c r="H41" s="346"/>
      <c r="I41" s="29">
        <v>0</v>
      </c>
      <c r="J41" s="28"/>
      <c r="K41" s="346"/>
      <c r="L41" s="29"/>
      <c r="M41" s="28"/>
      <c r="N41" s="346"/>
      <c r="O41" s="29"/>
      <c r="P41" s="28"/>
      <c r="Q41" s="346"/>
      <c r="R41" s="29"/>
      <c r="S41" s="28"/>
      <c r="T41" s="346"/>
      <c r="U41" s="29"/>
      <c r="V41" s="28"/>
      <c r="W41" s="337"/>
      <c r="X41" s="29"/>
      <c r="Y41" s="30"/>
      <c r="Z41" s="338"/>
      <c r="AA41" s="335"/>
      <c r="AB41" s="336"/>
      <c r="AC41" s="355"/>
      <c r="AD41" s="327"/>
      <c r="AE41" s="328"/>
      <c r="AG41" s="252">
        <v>2</v>
      </c>
      <c r="AH41" s="138">
        <f t="shared" ref="AH41:AH55" si="209">IF($K$5="","",(IF($H$5="x",CU41,"")))</f>
        <v>6</v>
      </c>
      <c r="AI41" s="177"/>
      <c r="AJ41" s="36">
        <f t="shared" si="188"/>
        <v>5</v>
      </c>
      <c r="AK41" s="149" t="str">
        <f t="shared" ref="AK41:AK47" si="210">IF($K$5="","",(DM41))</f>
        <v/>
      </c>
      <c r="AM41" s="138">
        <f>IF(AI40="","",(IF($N$5="x",EQ41,"")))</f>
        <v>6</v>
      </c>
      <c r="AN41" s="177"/>
      <c r="AO41" s="36" t="str">
        <f t="shared" si="189"/>
        <v/>
      </c>
      <c r="AP41" s="149" t="str">
        <f t="shared" ref="AP41:AP51" si="211">IF($N$5="","",(IF($H$5="","",(FM41))))</f>
        <v/>
      </c>
      <c r="AR41" s="138" t="str">
        <f t="shared" ref="AR41:AR51" si="212">IF($Q$5="x",HS41,"")</f>
        <v/>
      </c>
      <c r="AS41" s="177"/>
      <c r="AT41" s="36" t="str">
        <f t="shared" ref="AT41:AT51" si="213">IF($Q$5="","",(IL41))</f>
        <v/>
      </c>
      <c r="AU41" s="149" t="str">
        <f>IF(AS40="","",(IF($Q$5="","",(IH41))))</f>
        <v/>
      </c>
      <c r="AW41" s="138" t="str">
        <f t="shared" ref="AW41:AW51" si="214">IF($T$5="x",JH41,"")</f>
        <v/>
      </c>
      <c r="AX41" s="177"/>
      <c r="AY41" s="36" t="str">
        <f t="shared" ref="AY41:AY51" si="215">IF($T$5="","",(KB41))</f>
        <v/>
      </c>
      <c r="AZ41" s="149" t="str">
        <f t="shared" si="190"/>
        <v/>
      </c>
      <c r="BB41" s="138" t="str">
        <f>IF(AX40="","",(IF($W$5="x",KY41,"")))</f>
        <v/>
      </c>
      <c r="BC41" s="177"/>
      <c r="BD41" s="36" t="str">
        <f t="shared" ref="BD41:BD51" si="216">IF($W$5="","",(LS41))</f>
        <v/>
      </c>
      <c r="BE41" s="149" t="str">
        <f t="shared" ref="BE41:BE51" si="217">IF($W$5="","",(LO41))</f>
        <v/>
      </c>
      <c r="BH41" s="36" t="str">
        <f>IF(E41=$BQ$2,"",(IF(A41="","",(IF(F41="","",(IF(F41&lt;2,1,0)))))))</f>
        <v/>
      </c>
      <c r="BI41" s="36" t="str">
        <f>IF(H41=$BQ$2,"",(IF(A41="","",(IF(I41="","",(IF(I41&lt;2,1,0)))))))</f>
        <v/>
      </c>
      <c r="BJ41" s="36" t="str">
        <f>IF(K41=$BQ$2,"",(IF(A41="","",(IF(L41="","",(IF(L41&lt;2,1,0)))))))</f>
        <v/>
      </c>
      <c r="BK41" s="36" t="str">
        <f>IF(W41=$BQ$2,"",(IF(A41="","",(IF(X41="","",(IF(X41&lt;2,1,0)))))))</f>
        <v/>
      </c>
      <c r="BP41" s="36" t="str">
        <f>IF(BH41="","",(SUM(BH41:BK41)))</f>
        <v/>
      </c>
      <c r="BR41" s="36">
        <f>BP42</f>
        <v>1</v>
      </c>
      <c r="BS41" s="36">
        <f>D42</f>
        <v>5</v>
      </c>
      <c r="BT41" s="122" t="str">
        <f>IF(SUM(BH42,BI42)=2,$BH$2,"")</f>
        <v/>
      </c>
      <c r="BV41" s="36">
        <f t="shared" si="191"/>
        <v>999</v>
      </c>
      <c r="BW41" s="36">
        <f t="shared" si="192"/>
        <v>999</v>
      </c>
      <c r="BX41" s="36">
        <f>BX40+1</f>
        <v>2</v>
      </c>
      <c r="BY41" s="36">
        <f t="shared" ref="BY41:BY71" si="218">SMALL($BV$40:$BV$71,BX41)</f>
        <v>999</v>
      </c>
      <c r="CB41" s="122">
        <v>2</v>
      </c>
      <c r="CC41" s="36">
        <f>IF((D42)="",0,D42)</f>
        <v>5</v>
      </c>
      <c r="CD41" s="36">
        <f t="shared" ref="CD41:CD55" si="219">IF(CC41=0,0,1)</f>
        <v>1</v>
      </c>
      <c r="CE41" s="36">
        <f t="shared" ref="CE41:CE55" si="220">IF(CD41=CD42,0,1)*$CF$39</f>
        <v>0</v>
      </c>
      <c r="CH41" s="36">
        <f>IF(CC41=0,0,(IF($CF$39=0,CC41,CC40)))</f>
        <v>4</v>
      </c>
      <c r="CI41" s="36">
        <f t="shared" ref="CI41:CI55" si="221">IF(CH41=0,0,1)</f>
        <v>1</v>
      </c>
      <c r="CJ41" s="36">
        <f t="shared" ref="CJ41:CJ55" si="222">IF(CI41=CI42,0,1)*$CK$39</f>
        <v>0</v>
      </c>
      <c r="CM41" s="36">
        <f>IF(CH41=0,0,(IF($CK$39=0,CH41,CH40)))</f>
        <v>6</v>
      </c>
      <c r="CO41" s="36">
        <f t="shared" ref="CO41:CO55" si="223">IF(CC41=0,0,1)</f>
        <v>1</v>
      </c>
      <c r="CP41" s="36" t="str">
        <f t="shared" ref="CP41:CP55" si="224">IF(CM41=0,"",(INDEX($BT$40:$BT$55,CM41-$CO$6)))</f>
        <v/>
      </c>
      <c r="CQ41" s="36">
        <f t="shared" ref="CQ41:CQ55" si="225">IF(CM41=0,$BK$2,(IF(CP41=$BH$2,$BK$2,CM41)))</f>
        <v>6</v>
      </c>
      <c r="CR41" s="36">
        <f t="shared" ref="CR41:CR55" si="226">IF(CP41="",CB41,$BK$2)</f>
        <v>2</v>
      </c>
      <c r="CS41" s="36">
        <f t="shared" ref="CS41:CS55" si="227">SMALL($CR$40:$CR$55,CB41)</f>
        <v>2</v>
      </c>
      <c r="CT41" s="36">
        <f t="shared" si="193"/>
        <v>6</v>
      </c>
      <c r="CU41" s="36">
        <f t="shared" ref="CU41:CU55" si="228">IF(CT41=$BK$2,"",CT41)</f>
        <v>6</v>
      </c>
      <c r="CV41" s="36">
        <f t="shared" ref="CV41:CV55" si="229">IF(CU41="",0,1)</f>
        <v>1</v>
      </c>
      <c r="CW41" s="36">
        <f t="shared" ref="CW41:CW55" si="230">IF(CV41=CV42,0,1)*$CV$39</f>
        <v>0</v>
      </c>
      <c r="CX41" s="149">
        <f t="shared" ref="CX41:CX55" si="231">IF(CW41=0,CU41,$BQ$2)</f>
        <v>6</v>
      </c>
      <c r="DA41" s="36">
        <f>D42</f>
        <v>5</v>
      </c>
      <c r="DB41" s="36">
        <f>E42</f>
        <v>4</v>
      </c>
      <c r="DC41" s="36" t="str">
        <f>H42</f>
        <v>VL</v>
      </c>
      <c r="DD41" s="36" t="str">
        <f t="shared" ref="DD41:DD55" si="232">IF((C41)="","",C41)</f>
        <v/>
      </c>
      <c r="DF41" s="36">
        <f t="shared" ref="DF41:DF55" si="233">IF((ISNUMBER(AH41)),(INDEX($DA$40:$DA$55,AH41-$DF$36)),"")</f>
        <v>6</v>
      </c>
      <c r="DG41" s="36" t="str">
        <f t="shared" ref="DG41:DG55" si="234">IF((ISNUMBER(AH41)),(INDEX($DB$40:$DB$55,AH41-$DF$36)),"")</f>
        <v>VL</v>
      </c>
      <c r="DH41" s="36">
        <f t="shared" ref="DH41:DH55" si="235">IF((ISNUMBER(AH41)),(INDEX($DC$40:$DC$55,AH41-$DF$36)),"")</f>
        <v>4</v>
      </c>
      <c r="DI41" s="36" t="str">
        <f t="shared" si="194"/>
        <v/>
      </c>
      <c r="DJ41" s="36" t="str">
        <f t="shared" ref="DJ41:DJ55" si="236">IF((ISNUMBER(AI41)),(INDEX($BT$40:$BT$55,AI41-$DF$36)),"")</f>
        <v/>
      </c>
      <c r="DL41" s="36" t="str">
        <f t="shared" si="195"/>
        <v/>
      </c>
      <c r="DM41" s="149" t="str">
        <f t="shared" ref="DM41:DM55" si="237">IF(DI41="",(IF(DJ41="",IF(DL41="","",$DL$6),$DJ$6)),$DI$6)</f>
        <v/>
      </c>
      <c r="DN41" s="36">
        <f t="shared" ref="DN41:DN55" si="238">DA41</f>
        <v>5</v>
      </c>
      <c r="DO41" s="36">
        <f t="shared" ref="DO41:DO55" si="239">AH41</f>
        <v>6</v>
      </c>
      <c r="DP41" s="36">
        <f t="shared" ref="DP41:DP55" si="240">AJ41</f>
        <v>5</v>
      </c>
      <c r="DR41" s="36">
        <f t="shared" ref="DR41:DR55" si="241">IF(DN41=$DO$40,$DP$40,IF(DN41=$DO$41,$DP$41,IF(DN41=$DO$42,$DP$42,IF(DN41=$DO$43,$DP$43,IF(DN41=$DO$44,$DP$44,IF(DN41=$DO$45,$DP$45,IF(DN41=$DO$46,$DP$46,IF(DN41=$DO$47,$DP$47,""))))))))</f>
        <v>6</v>
      </c>
      <c r="DS41" s="36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36">
        <f t="shared" ref="DT41:DT55" si="243">IF(DR41="",DS41,DR41)</f>
        <v>6</v>
      </c>
      <c r="DX41" s="152">
        <f t="shared" ref="DX41:DX55" si="244">AH41</f>
        <v>6</v>
      </c>
      <c r="DY41" s="36" t="str">
        <f t="shared" ref="DY41:DY55" si="245">IF(AI41="","",AI41)</f>
        <v/>
      </c>
      <c r="DZ41" s="36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5</v>
      </c>
      <c r="EA41" s="36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173">
        <f t="shared" ref="EB41:EB55" si="248">IF(DZ41="",EA41,DZ41)</f>
        <v>5</v>
      </c>
      <c r="EC41" s="36">
        <f>D42</f>
        <v>5</v>
      </c>
      <c r="ED41" s="122">
        <v>2</v>
      </c>
      <c r="EE41" s="36">
        <f t="shared" ref="EE41:EE55" si="249">CU41</f>
        <v>6</v>
      </c>
      <c r="EF41" s="36">
        <f t="shared" ref="EF41:EF55" si="250">IF(EE41="",0,1)</f>
        <v>1</v>
      </c>
      <c r="EG41" s="36" t="str">
        <f>IF(SUM($BH$42:$BJ$42)=2,$BH$2,"")</f>
        <v/>
      </c>
      <c r="EH41" s="36" t="str">
        <f>IF(EE41="","",(INDEX(EG40:EG55,EE41-$CO$39)))</f>
        <v/>
      </c>
      <c r="EJ41" s="36">
        <f t="shared" ref="EJ41:EJ55" si="251">IF(EE41="",$BK$2,(IF(EH41=$BH$2,$BK$2,ED41)))</f>
        <v>2</v>
      </c>
      <c r="EK41" s="36">
        <f>SMALL(EJ40:EJ55,ED41)</f>
        <v>2</v>
      </c>
      <c r="EL41" s="36">
        <f>IF(EK41=$BK$2,"",(INDEX($EE$40:$EE$55,EK41)))</f>
        <v>6</v>
      </c>
      <c r="EM41" s="36">
        <f t="shared" ref="EM41:EM55" si="252">IF(EK41=EK42,1,0)</f>
        <v>0</v>
      </c>
      <c r="EN41" s="36">
        <f t="shared" ref="EN41:EN55" si="253">IF(EM41=EM42,0,1)</f>
        <v>1</v>
      </c>
      <c r="EQ41" s="36">
        <f>IF(EL41="","",(IF($CV$39=0,EL41,EL40)))</f>
        <v>6</v>
      </c>
      <c r="ER41" s="36">
        <f t="shared" ref="ER41:ER55" si="254">IF(EQ41="",0,1)</f>
        <v>1</v>
      </c>
      <c r="ES41" s="36">
        <f t="shared" ref="ES41:ES55" si="255">IF(ER41=ER42,0,1)</f>
        <v>1</v>
      </c>
      <c r="ET41" s="149" t="str">
        <f t="shared" ref="ET41:ET55" si="256">IF((ES41*$ER$39)=1,$EQ$6,"")</f>
        <v/>
      </c>
      <c r="EV41" s="36">
        <f>D42</f>
        <v>5</v>
      </c>
      <c r="EW41" s="36">
        <f>E42</f>
        <v>4</v>
      </c>
      <c r="EX41" s="36" t="str">
        <f>H42</f>
        <v>VL</v>
      </c>
      <c r="EY41" s="36">
        <f>K42</f>
        <v>6</v>
      </c>
      <c r="EZ41" s="36" t="str">
        <f t="shared" ref="EZ41:EZ55" si="257">EG41</f>
        <v/>
      </c>
      <c r="FB41" s="36">
        <f t="shared" ref="FB41:FB55" si="258">EQ41</f>
        <v>6</v>
      </c>
      <c r="FC41" s="36" t="str">
        <f t="shared" ref="FC41:FC55" si="259">IF(AN41="","",AN41)</f>
        <v/>
      </c>
      <c r="FD41" s="36" t="str">
        <f t="shared" si="196"/>
        <v>VL</v>
      </c>
      <c r="FE41" s="36">
        <f t="shared" si="197"/>
        <v>4</v>
      </c>
      <c r="FF41" s="36">
        <f t="shared" si="198"/>
        <v>5</v>
      </c>
      <c r="FG41" s="36" t="str">
        <f t="shared" si="199"/>
        <v/>
      </c>
      <c r="FI41" s="36" t="str">
        <f t="shared" ref="FI41:FI55" si="260">IF(FB41="","",(IF(FB41=FC41,$FI$39,"")))</f>
        <v/>
      </c>
      <c r="FL41" s="36" t="str">
        <f t="shared" ref="FL41:FL55" si="261">IF(FC41="","",(IF(FB41="","",(IF(FC41=FD41,$DF$2,IF(FC41=FE41,$DF$2,IF(FC41=FF41,$DF$2,"")))))))</f>
        <v/>
      </c>
      <c r="FM41" s="36" t="str">
        <f>CONCATENATE(FI41,FJ41,FK41,FL41)</f>
        <v/>
      </c>
      <c r="FN41" s="36">
        <f t="shared" ref="FN41:FN55" si="262">AM41</f>
        <v>6</v>
      </c>
      <c r="FO41" s="36" t="str">
        <f t="shared" ref="FO41:FO55" si="263">IF(AN41="","",AN41)</f>
        <v/>
      </c>
      <c r="FP41" s="36" t="str">
        <f>IF(FN41="","",(IF(FO41="",(IF(FN41=FO40,FN40,IF(FN41=FO41,FN41,IF(FN41=FO42,FN42,IF(FN41=FO43,FN43,IF(FN41=FO44,FN44,IF(FN41=FO45,FN45,IF(FN41=FO46,FN46,IF(FN41=FO47,FN47,""))))))))),FO41)))</f>
        <v/>
      </c>
      <c r="FQ41" s="36" t="str">
        <f>IF(FN41="","",(IF(FN41=FO48,FN48,IF(FN41=FO49,FN49,IF(FN41=FO50,FN50,IF(FN41=FO51,FN51,IF(FN41=FO52,FN52,IF(FN41=FO53,FN53,IF(FN41=FO54,FN54,IF(FN41=FO55,FN55,""))))))))))</f>
        <v/>
      </c>
      <c r="FR41" s="173" t="str">
        <f t="shared" ref="FR41:FR55" si="264">IF(ET41="",(IF(FP41="",FQ41,FP41)),ET41)</f>
        <v/>
      </c>
      <c r="FT41" s="36">
        <f>FT40+1</f>
        <v>5</v>
      </c>
      <c r="FV41" s="36" t="str">
        <f t="shared" ref="FV41:FV55" si="265">IF(FT41=$FN$40,$FR$40,IF(FT41=$FN$41,$FR$41,IF(FT41=$FN$42,$FR$42,IF(FT41=$FN$43,$FR$43,IF(FT41=$FN$44,$FR$44,IF(FT41=$FN$45,$FR$45,IF(FT41=$FN$46,$FR$46,IF(FT41=$FN$47,$FR$47,""))))))))</f>
        <v/>
      </c>
      <c r="FW41" s="36" t="str">
        <f>IF(FT41=FN48,FR48,IF(FT41=FN49,FR49,IF(FT41=FN50,FR50,IF(FT41=FN51,FR51,IF(FT41=FN52,FR52,IF(FT41=FN53,FR53,IF(FT41=FN54,FR54,IF(FT41=FN55,FR55,""))))))))</f>
        <v/>
      </c>
      <c r="FX41" s="36" t="str">
        <f t="shared" ref="FX41:FX55" si="266">CONCATENATE(FW41,FV41)</f>
        <v/>
      </c>
      <c r="GA41" s="152"/>
      <c r="GB41" s="122">
        <v>2</v>
      </c>
      <c r="GC41" s="36">
        <f>IF(D42="","",D42)</f>
        <v>5</v>
      </c>
      <c r="GD41" s="36">
        <f>IF(E42="","",E42)</f>
        <v>4</v>
      </c>
      <c r="GE41" s="36" t="str">
        <f>IF(H42="","",H42)</f>
        <v>VL</v>
      </c>
      <c r="GF41" s="36">
        <f>IF(K42="","",K42)</f>
        <v>6</v>
      </c>
      <c r="GG41" s="36" t="str">
        <f>IF(N42="","",N42)</f>
        <v/>
      </c>
      <c r="GH41" s="36" t="str">
        <f>IF(Q42="","",Q42)</f>
        <v/>
      </c>
      <c r="GI41" s="36" t="str">
        <f>IF(T42="","",T42)</f>
        <v/>
      </c>
      <c r="GJ41" s="36" t="str">
        <f>IF(W42="","",W42)</f>
        <v/>
      </c>
      <c r="GK41" s="36" t="str">
        <f>IF(C42="","",C42)</f>
        <v/>
      </c>
      <c r="GM41" s="36">
        <f>IF(F42="","",F42)</f>
        <v>5</v>
      </c>
      <c r="GN41" s="36" t="str">
        <f>IF(I42="","",I42)</f>
        <v/>
      </c>
      <c r="GO41" s="36">
        <f>IF(L42="","",L42)</f>
        <v>0</v>
      </c>
      <c r="GP41" s="36" t="str">
        <f>IF(O42="","",O42)</f>
        <v/>
      </c>
      <c r="GQ41" s="36" t="str">
        <f>IF(R42="","",R42)</f>
        <v/>
      </c>
      <c r="GR41" s="36" t="str">
        <f>IF(U42="","",U42)</f>
        <v/>
      </c>
      <c r="GS41" s="36" t="str">
        <f>IF(X42="","",X42)</f>
        <v/>
      </c>
      <c r="GU41" s="36">
        <f>IF(F43="","",F43)</f>
        <v>8</v>
      </c>
      <c r="GV41" s="36" t="str">
        <f>IF(I43="","",I43)</f>
        <v/>
      </c>
      <c r="GW41" s="36">
        <f>IF(L43="","",L43)</f>
        <v>0</v>
      </c>
      <c r="GX41" s="36" t="str">
        <f>IF(O43="","",O43)</f>
        <v/>
      </c>
      <c r="GY41" s="36" t="str">
        <f>IF(R43="","",R43)</f>
        <v/>
      </c>
      <c r="GZ41" s="36" t="str">
        <f>IF(U43="","",U43)</f>
        <v/>
      </c>
      <c r="HA41" s="153" t="str">
        <f>IF(X43="","",X43)</f>
        <v/>
      </c>
      <c r="HB41" s="183">
        <f>D42</f>
        <v>5</v>
      </c>
      <c r="HC41" s="122">
        <v>2</v>
      </c>
      <c r="HD41" s="36" t="str">
        <f>IF(SUM($BH42:$BK42)&gt;=2,$BH$2,"")</f>
        <v/>
      </c>
      <c r="HE41" s="36">
        <f t="shared" ref="HE41:HE55" si="267">FN41</f>
        <v>6</v>
      </c>
      <c r="HF41" s="36" t="str">
        <f t="shared" si="200"/>
        <v>VL</v>
      </c>
      <c r="HG41" s="36">
        <f t="shared" si="201"/>
        <v>4</v>
      </c>
      <c r="HH41" s="36">
        <f t="shared" si="202"/>
        <v>5</v>
      </c>
      <c r="HI41" s="36" t="str">
        <f t="shared" si="203"/>
        <v/>
      </c>
      <c r="HK41" s="36" t="str">
        <f>IF(HE41="","",(INDEX($HD$40:$HD$55,HE41-$HI$36)))</f>
        <v/>
      </c>
      <c r="HM41" s="36">
        <f t="shared" ref="HM41:HM55" si="268">IF(HE41="",$BK$2,(IF(HK41=$BH$2,$BK$2,HC41)))</f>
        <v>2</v>
      </c>
      <c r="HN41" s="36">
        <f t="shared" ref="HN41:HN55" si="269">SMALL($HM$40:$HM$55,HC41)</f>
        <v>2</v>
      </c>
      <c r="HO41" s="36">
        <f t="shared" si="204"/>
        <v>6</v>
      </c>
      <c r="HQ41" s="36">
        <f t="shared" ref="HQ41:HQ56" si="270">VALUE(IF(HN41=HN42,1,0))</f>
        <v>0</v>
      </c>
      <c r="HR41" s="36">
        <f t="shared" ref="HR41:HR53" si="271">IF(HQ41=HQ42,0,1)</f>
        <v>1</v>
      </c>
      <c r="HS41" s="36">
        <f>IF(HR40=0,(IF($HQ$39=1,HO40,HO41)),"")</f>
        <v>6</v>
      </c>
      <c r="HT41" s="36">
        <f t="shared" ref="HT41:HT57" si="272">IF(HS41="",0,1)</f>
        <v>1</v>
      </c>
      <c r="HU41" s="36" t="str">
        <f t="shared" ref="HU41:HU55" si="273">IF((HR41*$HT$39)=1,$HS$6,"")</f>
        <v/>
      </c>
      <c r="HV41" s="138"/>
      <c r="HW41" s="36" t="str">
        <f t="shared" ref="HW41:HW55" si="274">IF(AS41="","",AS41)</f>
        <v/>
      </c>
      <c r="HX41" s="36" t="str">
        <f t="shared" ref="HX41:HX55" si="275">IF(HS41="","",(INDEX($GD$40:$GD$55,$HS41-$HI$36)))</f>
        <v>VL</v>
      </c>
      <c r="HY41" s="36">
        <f t="shared" ref="HY41:HY55" si="276">IF(HS41="","",(INDEX($GE$40:$GE$55,$HS41-$HI$36)))</f>
        <v>4</v>
      </c>
      <c r="HZ41" s="36">
        <f t="shared" ref="HZ41:HZ55" si="277">IF(HS41="","",(INDEX($GF$40:$GF$55,$HS41-$HI$36)))</f>
        <v>5</v>
      </c>
      <c r="IA41" s="36" t="str">
        <f t="shared" ref="IA41:IA55" si="278">IF(HS41="","",(INDEX($GG$40:$GG$55,$HS41-$HI$36)))</f>
        <v/>
      </c>
      <c r="IC41" s="36" t="str">
        <f>IF(HS41="","",(IF(HW41=HS41,$IC$6,"")))</f>
        <v/>
      </c>
      <c r="ID41" s="36" t="str">
        <f t="shared" ref="ID41:ID46" si="279">IF(HW41="","",(IF(HW41=HX41,$ID$6,IF(HW41=HY41,$ID$6,IF(HW41=HZ41,$ID$6,IF(HW41=IA41,$ID$6,""))))))</f>
        <v/>
      </c>
      <c r="IE41" s="3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36">
        <f t="shared" ref="IF41:IF47" si="281">IF(HS41="","",(IF(HW41="",0,(IF(HW41=$HS$40,1,IF(HW41=$HS$41,1,IF(HW41=$HS$42,1,IF(HW41=$HS$43,1,IF(HW41=$HS$44,1,IF(HW41=$HS$45,1,IF(HW41=$HS$46,1,IF(HW41=$HS$47,1,0)*0)))))))))))</f>
        <v>0</v>
      </c>
      <c r="IG41" s="36" t="str">
        <f>IF(HW41="","",(IF(IF41=0,$IF$6,"")))</f>
        <v/>
      </c>
      <c r="IH41" s="149" t="str">
        <f t="shared" ref="IH41:IH50" si="282">IF(IC41="",IF(ID41="",IF(IG41="",IF(IE41="","",IE41),IG41),ID41),IC41)</f>
        <v/>
      </c>
      <c r="II41" s="138"/>
      <c r="IJ41" s="36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L41" s="36" t="str">
        <f t="shared" ref="IL41:IL51" si="284">IF(HU41="",IF(HW41="",IF(IJ41="","",IJ41),HW41),HU41)</f>
        <v/>
      </c>
      <c r="IM41" s="36">
        <f t="shared" ref="IM41:IM48" si="285">HS41</f>
        <v>6</v>
      </c>
      <c r="IN41" s="36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36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Q41" s="183">
        <f>D42</f>
        <v>5</v>
      </c>
      <c r="IR41" s="122">
        <v>2</v>
      </c>
      <c r="IS41" s="36" t="str">
        <f>IF(SUM($BH42:$BL42)&gt;1,$BH$2,"")</f>
        <v/>
      </c>
      <c r="IT41" s="36">
        <f t="shared" ref="IT41:IT55" si="288">HS41</f>
        <v>6</v>
      </c>
      <c r="IU41" s="36" t="str">
        <f t="shared" ref="IU41:IU55" si="289">IF(IT41="","",(INDEX($GD$40:$GD$55,IT41-$IX$36)))</f>
        <v>VL</v>
      </c>
      <c r="IV41" s="36">
        <f t="shared" ref="IV41:IV55" si="290">IF($IT41="","",(INDEX($GE$40:$GE$55,$IT41-$IX$36)))</f>
        <v>4</v>
      </c>
      <c r="IW41" s="36">
        <f t="shared" ref="IW41:IW55" si="291">IF($IT41="","",(INDEX($GF$40:$GF$55,$IT41-$IX$36)))</f>
        <v>5</v>
      </c>
      <c r="IX41" s="36" t="str">
        <f t="shared" ref="IX41:IX55" si="292">IF($IT41="","",(INDEX($GG$40:$GG$55,$IT41-$IX$36)))</f>
        <v/>
      </c>
      <c r="IY41" s="36" t="str">
        <f t="shared" ref="IY41:IY55" si="293">IF($IT41="","",(INDEX($GH$40:$GH$55,$IT41-$IX$36)))</f>
        <v/>
      </c>
      <c r="IZ41" s="36" t="str">
        <f t="shared" ref="IZ41:IZ55" si="294">IF($IT41="","",(INDEX($IS$40:$IS$55,$IT41-$IX$36)))</f>
        <v/>
      </c>
      <c r="JB41" s="36">
        <f t="shared" ref="JB41:JB55" si="295">IF(IT41="",$BK$2,(IF(IZ41=$BH$2,$BK$2,IR41)))</f>
        <v>2</v>
      </c>
      <c r="JC41" s="36">
        <f t="shared" ref="JC41:JC55" si="296">SMALL($JB$40:$JB$55,IR41)</f>
        <v>2</v>
      </c>
      <c r="JD41" s="36">
        <f t="shared" si="205"/>
        <v>6</v>
      </c>
      <c r="JF41" s="36">
        <f t="shared" ref="JF41:JF54" si="297">VALUE(IF(JC41=JC42,1,0))</f>
        <v>0</v>
      </c>
      <c r="JG41" s="36">
        <f t="shared" ref="JG41:JG54" si="298">IF(JF41=JF42,0,1)</f>
        <v>1</v>
      </c>
      <c r="JH41" s="36">
        <f t="shared" ref="JH41:JH55" si="299">IF(JC41=$BK$2,"",(IF(JF40=0,(IF($JF$39=1,JD40,JD41)),"")))</f>
        <v>6</v>
      </c>
      <c r="JI41" s="36">
        <f t="shared" ref="JI41:JI55" si="300">IF(JH41="",0,1)</f>
        <v>1</v>
      </c>
      <c r="JJ41" s="149" t="str">
        <f>IF((JG41*$JI$39)=1,$HS$6,"")</f>
        <v/>
      </c>
      <c r="JL41" s="36" t="str">
        <f t="shared" ref="JL41:JL52" si="301">IF(AX41="","",AX41)</f>
        <v/>
      </c>
      <c r="JM41" s="36" t="str">
        <f>IF(JH41="","",(INDEX($GD$40:$GD$55,$JH41-$IX$36)))</f>
        <v>VL</v>
      </c>
      <c r="JN41" s="36">
        <f t="shared" ref="JN41:JN52" si="302">IF(JH41="","",(INDEX($GE$40:$GE$55,$JH41-$IX$36)))</f>
        <v>4</v>
      </c>
      <c r="JO41" s="36">
        <f t="shared" ref="JO41:JO53" si="303">IF(JH41="","",(INDEX($GF$40:$GF$55,$JH41-$IX$36)))</f>
        <v>5</v>
      </c>
      <c r="JP41" s="36" t="str">
        <f t="shared" ref="JP41:JP52" si="304">IF(JH41="","",(INDEX($GG$40:$GG$55,$JH41-$IX$36)))</f>
        <v/>
      </c>
      <c r="JQ41" s="36" t="str">
        <f t="shared" ref="JQ41:JQ52" si="305">IF(JH41="","",(INDEX($GH$40:$GH$55,$JH41-$IX$36)))</f>
        <v/>
      </c>
      <c r="JS41" s="36" t="str">
        <f t="shared" ref="JS41:JS52" si="306">IF(JH41="","",(IF(JL41=JH41,$IC$6,"")))</f>
        <v/>
      </c>
      <c r="JT41" s="36" t="str">
        <f t="shared" ref="JT41:JT52" si="307">IF(JH41="","",(IF(JL41=JM41,$ID$6,IF(JL41=JN41,$ID$6,IF(JL41=JO41,$ID$6,IF(JL41=JP41,$ID$6,IF(JL41=JQ41,$ID$6,"")))))))</f>
        <v>chyba</v>
      </c>
      <c r="JU41" s="36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6">
        <f t="shared" ref="JV41:JV52" si="309">IF(JH41="","",(IF(JL41="",0,(IF(JL41=$JH$40,1,IF(JL41=$JH$41,1,IF(JL41=$JH$42,1,IF(JL41=$JH$43,1,IF(JL41=$JH$44,1,IF(JL41=$JH$45,1,IF(JL41=$JH$46,1,IF(JL41=$JH$47,1,0)*0)))))))))))</f>
        <v>0</v>
      </c>
      <c r="JW41" s="36" t="str">
        <f t="shared" ref="JW41:JW52" si="310">IF(JL41="","",(IF(JV41=0,$JV$6,"")))</f>
        <v/>
      </c>
      <c r="JX41" s="149" t="str">
        <f t="shared" ref="JX41:JX52" si="311">IF(JS41="",IF(JT41="",IF(JW41="",IF(JU41="","",JU41),JW41),JT41),JS41)</f>
        <v>chyba</v>
      </c>
      <c r="JY41" s="138"/>
      <c r="JZ41" s="36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B41" s="36" t="str">
        <f t="shared" ref="KB41:KB54" si="313">IF(JJ41="",IF(JL41="",IF(JZ41="","",JZ41),JL41),JJ41)</f>
        <v/>
      </c>
      <c r="KC41" s="36">
        <f t="shared" ref="KC41:KC55" si="314">JH41</f>
        <v>6</v>
      </c>
      <c r="KD41" s="36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G41" s="183">
        <f>D42</f>
        <v>5</v>
      </c>
      <c r="KH41" s="122">
        <v>2</v>
      </c>
      <c r="KI41" s="36" t="str">
        <f>IF(SUM($BH42:$BM42)&gt;1,$BH$2,"")</f>
        <v/>
      </c>
      <c r="KJ41" s="36">
        <f t="shared" ref="KJ41:KJ55" si="316">JH41</f>
        <v>6</v>
      </c>
      <c r="KK41" s="36" t="str">
        <f t="shared" ref="KK41:KK55" si="317">IF(KJ41="","",(INDEX($GD$40:$GD$55,KJ41-$KN$36)))</f>
        <v>VL</v>
      </c>
      <c r="KL41" s="36">
        <f t="shared" ref="KL41:KL55" si="318">IF($KJ41="","",(INDEX($GE$40:$GE$55,$KJ41-$KN$36)))</f>
        <v>4</v>
      </c>
      <c r="KM41" s="36">
        <f t="shared" ref="KM41:KM55" si="319">IF($KJ41="","",(INDEX($GF$40:$GF$55,$KJ41-$KN$36)))</f>
        <v>5</v>
      </c>
      <c r="KN41" s="36" t="str">
        <f t="shared" ref="KN41:KN55" si="320">IF($KJ41="","",(INDEX($GG$40:$GG$55,$KJ41-$KN$36)))</f>
        <v/>
      </c>
      <c r="KO41" s="36" t="str">
        <f t="shared" ref="KO41:KO55" si="321">IF($KJ41="","",(INDEX($GH$40:$GH$55,$KJ41-$KN$36)))</f>
        <v/>
      </c>
      <c r="KP41" s="36" t="str">
        <f t="shared" ref="KP41:KP55" si="322">IF($KJ41="","",(INDEX($GI$40:$GI$55,$KJ41-$KN$36)))</f>
        <v/>
      </c>
      <c r="KQ41" s="36" t="str">
        <f t="shared" ref="KQ41:KQ55" si="323">IF($KJ41="","",(INDEX($KI$40:$KI$55,$KJ41-$KN$36)))</f>
        <v/>
      </c>
      <c r="KS41" s="36">
        <f t="shared" ref="KS41:KS55" si="324">IF(KJ41="",$BK$2,(IF(KQ41=$BH$2,$BK$2,KH41)))</f>
        <v>2</v>
      </c>
      <c r="KT41" s="36">
        <f t="shared" ref="KT41:KT55" si="325">SMALL($KS$40:$KS$55,KH41)</f>
        <v>2</v>
      </c>
      <c r="KU41" s="36">
        <f t="shared" si="206"/>
        <v>6</v>
      </c>
      <c r="KW41" s="36">
        <f t="shared" ref="KW41:KW54" si="326">VALUE(IF(KT41=KT42,1,0))</f>
        <v>0</v>
      </c>
      <c r="KX41" s="36">
        <f t="shared" ref="KX41:KX53" si="327">IF(KW41=KW42,0,1)</f>
        <v>1</v>
      </c>
      <c r="KY41" s="36">
        <f>IF(KX40=0,(IF($KW$6=1,KU40,KU41)),"")</f>
        <v>6</v>
      </c>
      <c r="KZ41" s="36">
        <f t="shared" ref="KZ41:KZ55" si="328">IF(KY41="",0,1)</f>
        <v>1</v>
      </c>
      <c r="LA41" s="149" t="str">
        <f t="shared" ref="LA41:LA55" si="329">IF((KX41*$KZ$38)=1,$HS$6,"")</f>
        <v/>
      </c>
      <c r="LC41" s="36" t="str">
        <f t="shared" ref="LC41:LC55" si="330">IF(BC41="","",BC41)</f>
        <v/>
      </c>
      <c r="LD41" s="36" t="str">
        <f t="shared" ref="LD41:LD55" si="331">IF(KY41="","",(INDEX($GD$40:$GD$55,$KY41-$KN$36)))</f>
        <v>VL</v>
      </c>
      <c r="LE41" s="36">
        <f t="shared" ref="LE41:LE55" si="332">IF(KY41="","",(INDEX($GE$40:$GE$55,$KY41-$KN$36)))</f>
        <v>4</v>
      </c>
      <c r="LF41" s="36">
        <f t="shared" ref="LF41:LF55" si="333">IF(KY41="","",(INDEX($GF$40:$GF$55,$KY41-$KN$36)))</f>
        <v>5</v>
      </c>
      <c r="LG41" s="36" t="str">
        <f t="shared" ref="LG41:LG55" si="334">IF(KY41="","",(INDEX($GG$40:$GG$55,$KY41-$KN$36)))</f>
        <v/>
      </c>
      <c r="LH41" s="36" t="str">
        <f t="shared" ref="LH41:LH55" si="335">IF(KY41="","",(INDEX($GH$40:$GH$55,$KY41-$KN$36)))</f>
        <v/>
      </c>
      <c r="LI41" s="36" t="str">
        <f t="shared" ref="LI41:LI55" si="336">IF(KY41="","",(INDEX($GI$40:$GI$55,$KY41-$KN$36)))</f>
        <v/>
      </c>
      <c r="LJ41" s="36" t="str">
        <f t="shared" ref="LJ41:LJ55" si="337">IF(KY41="","",(IF(LC41=KY41,$LJ$6,"")))</f>
        <v/>
      </c>
      <c r="LK41" s="36" t="str">
        <f t="shared" si="207"/>
        <v/>
      </c>
      <c r="LL41" s="36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6">
        <f t="shared" ref="LM41:LM55" si="339">IF(KY41="","",(IF(LC41="",0,(IF(LC41=$KY$40,1,IF(LC41=$KY$41,1,IF(LC41=$KY$42,1,IF(LC41=$KY$43,1,IF(LC41=$KY$44,1,IF(LC41=$KY$45,1,IF(LC41=$KY$46,1,IF(LC41=$KY$47,1,0)*0)))))))))))</f>
        <v>0</v>
      </c>
      <c r="LN41" s="36" t="str">
        <f t="shared" ref="LN41:LN56" si="340">IF(LC41="","",(IF(LM41=0,$LM$6,"")))</f>
        <v/>
      </c>
      <c r="LO41" s="149" t="str">
        <f t="shared" ref="LO41:LO55" si="341">IF(LJ41="",IF(LK41="",IF(LN41="",IF(LL41="","",LL41),LN41),LK41),LJ41)</f>
        <v/>
      </c>
      <c r="LP41" s="138"/>
      <c r="LQ41" s="36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S41" s="36" t="str">
        <f>IF(LA41="",IF(LC41="",IF(LQ41="","",LQ41),LC41),LA41)</f>
        <v/>
      </c>
      <c r="LT41" s="36">
        <f t="shared" ref="LT41:LT55" si="343">KY41</f>
        <v>6</v>
      </c>
      <c r="LU41" s="36" t="str">
        <f t="shared" si="208"/>
        <v/>
      </c>
      <c r="LX41" s="152"/>
    </row>
    <row r="42" spans="1:336" ht="14.25" customHeight="1" thickBot="1" x14ac:dyDescent="0.3">
      <c r="A42" s="375" t="str">
        <f>'Vážní listina'!HQ41</f>
        <v>Uhliarik Max</v>
      </c>
      <c r="B42" s="374" t="str">
        <f>'Vážní listina'!HR41</f>
        <v>Nitra</v>
      </c>
      <c r="C42" s="363" t="str">
        <f>IF(BP42="","",(IF(BP42&gt;1,$BH$2,"")))</f>
        <v/>
      </c>
      <c r="D42" s="361">
        <f>'Vážní listina'!HK41</f>
        <v>5</v>
      </c>
      <c r="E42" s="343">
        <f>'Vážní listina'!HL41</f>
        <v>4</v>
      </c>
      <c r="F42" s="26">
        <v>5</v>
      </c>
      <c r="G42" s="32"/>
      <c r="H42" s="334" t="str">
        <f>IF(H5="","",'Vážní listina'!HM41)</f>
        <v>VL</v>
      </c>
      <c r="I42" s="26"/>
      <c r="J42" s="32"/>
      <c r="K42" s="334">
        <f>IF(K5="","",DV42)</f>
        <v>6</v>
      </c>
      <c r="L42" s="26">
        <v>0</v>
      </c>
      <c r="M42" s="32"/>
      <c r="N42" s="334" t="str">
        <f>IF(N5="","",FZ42)</f>
        <v/>
      </c>
      <c r="O42" s="26"/>
      <c r="P42" s="32"/>
      <c r="Q42" s="334" t="str">
        <f>IF(Q5="","",IP42)</f>
        <v/>
      </c>
      <c r="R42" s="26"/>
      <c r="S42" s="32"/>
      <c r="T42" s="334" t="str">
        <f>IF(T5="","",KF42)</f>
        <v/>
      </c>
      <c r="U42" s="26"/>
      <c r="V42" s="32"/>
      <c r="W42" s="337" t="str">
        <f>IF(W5="","",LW42)</f>
        <v/>
      </c>
      <c r="X42" s="26"/>
      <c r="Y42" s="33"/>
      <c r="Z42" s="338">
        <f>IF(A42="","",(F42+I42+L42+O42+R42+U42+X42))</f>
        <v>5</v>
      </c>
      <c r="AA42" s="335">
        <f>IF(A42="","",(F43+I43+L43+O43+R43+U43+X43))</f>
        <v>8</v>
      </c>
      <c r="AB42" s="336">
        <f>IF(A42="","",(G42+J42+M42+P42+S42+V42+Y42))</f>
        <v>0</v>
      </c>
      <c r="AC42" s="355" t="str">
        <f>HF114</f>
        <v>F</v>
      </c>
      <c r="AD42" s="328"/>
      <c r="AE42" s="328">
        <f>IF(D42="","",(IF('Tabulka finále'!$BK$47=1,(IF('Tabulka finále'!$K$56="","",(IF($AC$5="","",(IF($H$5="","",(FW152))))))),"")))</f>
        <v>4</v>
      </c>
      <c r="AG42" s="252">
        <v>3</v>
      </c>
      <c r="AH42" s="138" t="str">
        <f t="shared" si="209"/>
        <v/>
      </c>
      <c r="AI42" s="177"/>
      <c r="AJ42" s="36" t="str">
        <f t="shared" si="188"/>
        <v/>
      </c>
      <c r="AK42" s="149" t="str">
        <f t="shared" si="210"/>
        <v/>
      </c>
      <c r="AM42" s="138" t="str">
        <f>IF(AI40="","",(IF($N$5="x",EQ42,"")))</f>
        <v/>
      </c>
      <c r="AN42" s="177"/>
      <c r="AO42" s="36" t="str">
        <f t="shared" si="189"/>
        <v/>
      </c>
      <c r="AP42" s="149" t="str">
        <f t="shared" si="211"/>
        <v/>
      </c>
      <c r="AR42" s="138" t="str">
        <f t="shared" si="212"/>
        <v/>
      </c>
      <c r="AS42" s="177"/>
      <c r="AT42" s="36" t="str">
        <f>IF($Q$5="","",(IL42))</f>
        <v/>
      </c>
      <c r="AU42" s="149" t="str">
        <f>IF(AS40="","",(IF($Q$5="","",(IH42))))</f>
        <v/>
      </c>
      <c r="AW42" s="138" t="str">
        <f t="shared" si="214"/>
        <v/>
      </c>
      <c r="AX42" s="177"/>
      <c r="AY42" s="36" t="str">
        <f t="shared" si="215"/>
        <v/>
      </c>
      <c r="AZ42" s="149" t="str">
        <f t="shared" si="190"/>
        <v/>
      </c>
      <c r="BB42" s="138" t="str">
        <f>IF(AX40="","",(IF($W$5="x",KY42,"")))</f>
        <v/>
      </c>
      <c r="BC42" s="177"/>
      <c r="BD42" s="36" t="str">
        <f t="shared" si="216"/>
        <v/>
      </c>
      <c r="BE42" s="149" t="str">
        <f t="shared" si="217"/>
        <v/>
      </c>
      <c r="BG42" s="36">
        <f>IF(A42="",0,1)</f>
        <v>1</v>
      </c>
      <c r="BH42" s="36">
        <f>(IF(F42="","",(IF(F42&lt;2,1,0))))</f>
        <v>0</v>
      </c>
      <c r="BI42" s="36" t="str">
        <f>(IF(I42="","",(IF(I42&lt;2,1,0))))</f>
        <v/>
      </c>
      <c r="BJ42" s="36">
        <f>(IF(L42="","",(IF(L42&lt;2,1,0))))</f>
        <v>1</v>
      </c>
      <c r="BK42" s="36" t="str">
        <f>(IF(O42="","",(IF(O42&lt;2,1,0))))</f>
        <v/>
      </c>
      <c r="BL42" s="36" t="str">
        <f>IF(R42="","",(IF(R42&lt;2,1,0)))</f>
        <v/>
      </c>
      <c r="BM42" s="36" t="str">
        <f>IF(U42="","",(IF(U42&lt;2,1,0)))</f>
        <v/>
      </c>
      <c r="BN42" s="36" t="str">
        <f>IF(X42="","",(IF(X42&lt;2,1,0)))</f>
        <v/>
      </c>
      <c r="BP42" s="36">
        <f>IF(BG42=0,"",(SUM(BH42:BN42)))</f>
        <v>1</v>
      </c>
      <c r="BR42" s="36">
        <f>BP44</f>
        <v>0</v>
      </c>
      <c r="BS42" s="36">
        <f>D44</f>
        <v>6</v>
      </c>
      <c r="BT42" s="122" t="str">
        <f>IF(SUM(BH44,BI44)=2,$BH$2,"")</f>
        <v/>
      </c>
      <c r="BV42" s="36">
        <f t="shared" si="191"/>
        <v>5</v>
      </c>
      <c r="BW42" s="36">
        <f t="shared" si="192"/>
        <v>1</v>
      </c>
      <c r="BX42" s="36">
        <f t="shared" ref="BX42:BX71" si="344">BX41+1</f>
        <v>3</v>
      </c>
      <c r="BY42" s="36">
        <f t="shared" si="218"/>
        <v>999</v>
      </c>
      <c r="CB42" s="122">
        <v>3</v>
      </c>
      <c r="CC42" s="36">
        <f>IF((D44)="",0,D44)</f>
        <v>6</v>
      </c>
      <c r="CD42" s="36">
        <f t="shared" si="219"/>
        <v>1</v>
      </c>
      <c r="CE42" s="36">
        <f t="shared" si="220"/>
        <v>1</v>
      </c>
      <c r="CH42" s="36">
        <f t="shared" ref="CH42:CH55" si="345">IF(CC42=0,0,(IF($CF$39=0,CC42,CC41)))</f>
        <v>5</v>
      </c>
      <c r="CI42" s="36">
        <f t="shared" si="221"/>
        <v>1</v>
      </c>
      <c r="CJ42" s="36">
        <f t="shared" si="222"/>
        <v>1</v>
      </c>
      <c r="CM42" s="36">
        <f t="shared" ref="CM42:CM55" si="346">IF(CH42=0,0,(IF($CK$39=0,CH42,CH41)))</f>
        <v>4</v>
      </c>
      <c r="CO42" s="36">
        <f t="shared" si="223"/>
        <v>1</v>
      </c>
      <c r="CP42" s="36" t="str">
        <f t="shared" si="224"/>
        <v>xxx</v>
      </c>
      <c r="CQ42" s="36">
        <f t="shared" si="225"/>
        <v>999</v>
      </c>
      <c r="CR42" s="36">
        <f t="shared" si="226"/>
        <v>999</v>
      </c>
      <c r="CS42" s="36">
        <f t="shared" si="227"/>
        <v>4</v>
      </c>
      <c r="CT42" s="36">
        <f t="shared" si="193"/>
        <v>999</v>
      </c>
      <c r="CU42" s="36" t="str">
        <f t="shared" si="228"/>
        <v/>
      </c>
      <c r="CV42" s="36">
        <f t="shared" si="229"/>
        <v>0</v>
      </c>
      <c r="CW42" s="36">
        <f t="shared" si="230"/>
        <v>0</v>
      </c>
      <c r="CX42" s="149" t="str">
        <f t="shared" si="231"/>
        <v/>
      </c>
      <c r="DA42" s="36">
        <f>D44</f>
        <v>6</v>
      </c>
      <c r="DB42" s="36" t="str">
        <f>E44</f>
        <v>VL</v>
      </c>
      <c r="DC42" s="36">
        <f>H44</f>
        <v>4</v>
      </c>
      <c r="DD42" s="36" t="str">
        <f t="shared" si="232"/>
        <v/>
      </c>
      <c r="DF42" s="36" t="str">
        <f t="shared" si="233"/>
        <v/>
      </c>
      <c r="DG42" s="36" t="str">
        <f t="shared" si="234"/>
        <v/>
      </c>
      <c r="DH42" s="36" t="str">
        <f t="shared" si="235"/>
        <v/>
      </c>
      <c r="DI42" s="36" t="str">
        <f t="shared" si="194"/>
        <v/>
      </c>
      <c r="DJ42" s="36" t="str">
        <f t="shared" si="236"/>
        <v/>
      </c>
      <c r="DL42" s="36" t="str">
        <f t="shared" si="195"/>
        <v/>
      </c>
      <c r="DM42" s="149" t="str">
        <f t="shared" si="237"/>
        <v/>
      </c>
      <c r="DN42" s="36">
        <f t="shared" si="238"/>
        <v>6</v>
      </c>
      <c r="DO42" s="36" t="str">
        <f t="shared" si="239"/>
        <v/>
      </c>
      <c r="DP42" s="36" t="str">
        <f t="shared" si="240"/>
        <v/>
      </c>
      <c r="DR42" s="36">
        <f t="shared" si="241"/>
        <v>5</v>
      </c>
      <c r="DS42" s="36" t="str">
        <f t="shared" si="242"/>
        <v/>
      </c>
      <c r="DT42" s="36">
        <f t="shared" si="243"/>
        <v>5</v>
      </c>
      <c r="DV42" s="36">
        <f>DT41</f>
        <v>6</v>
      </c>
      <c r="DX42" s="152" t="str">
        <f t="shared" si="244"/>
        <v/>
      </c>
      <c r="DY42" s="36" t="str">
        <f t="shared" si="245"/>
        <v/>
      </c>
      <c r="DZ42" s="36" t="str">
        <f t="shared" si="246"/>
        <v/>
      </c>
      <c r="EA42" s="36" t="str">
        <f t="shared" si="247"/>
        <v/>
      </c>
      <c r="EB42" s="173" t="str">
        <f t="shared" si="248"/>
        <v/>
      </c>
      <c r="EC42" s="36">
        <f>D44</f>
        <v>6</v>
      </c>
      <c r="ED42" s="122">
        <v>3</v>
      </c>
      <c r="EE42" s="36" t="str">
        <f t="shared" si="249"/>
        <v/>
      </c>
      <c r="EF42" s="36">
        <f t="shared" si="250"/>
        <v>0</v>
      </c>
      <c r="EG42" s="36" t="str">
        <f>IF(SUM($BH$44:$BJ$44)=2,$BH$2,"")</f>
        <v/>
      </c>
      <c r="EH42" s="36" t="str">
        <f>IF(EE42="","",(INDEX(EG40:EG55,EE42-$CO$39)))</f>
        <v/>
      </c>
      <c r="EJ42" s="36">
        <f t="shared" si="251"/>
        <v>999</v>
      </c>
      <c r="EK42" s="36">
        <f>SMALL(EJ40:EJ55,ED42)</f>
        <v>999</v>
      </c>
      <c r="EL42" s="36" t="str">
        <f>IF(EK42=$BK$2,"",(INDEX($EE$40:$EE$55,EK42)))</f>
        <v/>
      </c>
      <c r="EM42" s="36">
        <f t="shared" si="252"/>
        <v>1</v>
      </c>
      <c r="EN42" s="36">
        <f t="shared" si="253"/>
        <v>0</v>
      </c>
      <c r="EQ42" s="36" t="str">
        <f>IF(EL42="","",(IF($CV$39=0,EL42,EL41)))</f>
        <v/>
      </c>
      <c r="ER42" s="36">
        <f t="shared" si="254"/>
        <v>0</v>
      </c>
      <c r="ES42" s="36">
        <f t="shared" si="255"/>
        <v>0</v>
      </c>
      <c r="ET42" s="149" t="str">
        <f t="shared" si="256"/>
        <v/>
      </c>
      <c r="EV42" s="36">
        <f>D44</f>
        <v>6</v>
      </c>
      <c r="EW42" s="36" t="str">
        <f>E44</f>
        <v>VL</v>
      </c>
      <c r="EX42" s="36">
        <f>H44</f>
        <v>4</v>
      </c>
      <c r="EY42" s="36">
        <f>K44</f>
        <v>5</v>
      </c>
      <c r="EZ42" s="36" t="str">
        <f t="shared" si="257"/>
        <v/>
      </c>
      <c r="FB42" s="36" t="str">
        <f t="shared" si="258"/>
        <v/>
      </c>
      <c r="FC42" s="36" t="str">
        <f t="shared" si="259"/>
        <v/>
      </c>
      <c r="FD42" s="36" t="str">
        <f t="shared" si="196"/>
        <v/>
      </c>
      <c r="FE42" s="36" t="str">
        <f t="shared" si="197"/>
        <v/>
      </c>
      <c r="FF42" s="36" t="str">
        <f t="shared" si="198"/>
        <v/>
      </c>
      <c r="FG42" s="36" t="str">
        <f t="shared" si="199"/>
        <v/>
      </c>
      <c r="FI42" s="36" t="str">
        <f t="shared" si="260"/>
        <v/>
      </c>
      <c r="FL42" s="36" t="str">
        <f t="shared" si="261"/>
        <v/>
      </c>
      <c r="FM42" s="36" t="str">
        <f t="shared" ref="FM42:FM55" si="347">CONCATENATE(FI42,FJ42,FK42,FL42)</f>
        <v/>
      </c>
      <c r="FN42" s="36" t="str">
        <f t="shared" si="262"/>
        <v/>
      </c>
      <c r="FO42" s="36" t="str">
        <f t="shared" si="263"/>
        <v/>
      </c>
      <c r="FP42" s="36" t="str">
        <f>IF(FN42="","",(IF(FO42="",(IF(FN42=FO40,FN40,IF(FN42=FO41,FN41,IF(FN42=FO42,FN42,IF(FN42=FO43,FN43,IF(FN42=FO44,FN44,IF(FN42=FO45,FN45,IF(FN42=FO46,FN46,IF(FN42=FO47,FN47,""))))))))),FO42)))</f>
        <v/>
      </c>
      <c r="FQ42" s="36" t="str">
        <f>IF(FN42="","",(IF(FN42=FO48,FN48,IF(FN42=FO49,FN49,IF(FN42=FO50,FN50,IF(FN42=FO51,FN51,IF(FN42=FO52,FN52,IF(FN42=FO53,FN53,IF(FN42=FO54,FN54,IF(FN42=FO55,FN55,""))))))))))</f>
        <v/>
      </c>
      <c r="FR42" s="173" t="str">
        <f t="shared" si="264"/>
        <v/>
      </c>
      <c r="FT42" s="36">
        <f t="shared" ref="FT42:FT55" si="348">FT41+1</f>
        <v>6</v>
      </c>
      <c r="FV42" s="36" t="str">
        <f t="shared" si="265"/>
        <v/>
      </c>
      <c r="FW42" s="36" t="str">
        <f>IF(FT42=FN48,FR48,IF(FT42=FN49,FR49,IF(FT42=FN50,FR50,IF(FT42=FN51,FR51,IF(FT42=FN52,FR52,IF(FT42=FN53,FR53,IF(FT42=FN54,FR54,IF(FT42=FN55,FR55,""))))))))</f>
        <v/>
      </c>
      <c r="FX42" s="36" t="str">
        <f t="shared" si="266"/>
        <v/>
      </c>
      <c r="FZ42" s="36" t="str">
        <f>FX41</f>
        <v/>
      </c>
      <c r="GA42" s="152"/>
      <c r="GB42" s="122">
        <v>3</v>
      </c>
      <c r="GC42" s="36">
        <f>IF(D44="","",D44)</f>
        <v>6</v>
      </c>
      <c r="GD42" s="36" t="str">
        <f>IF(E44="","",E44)</f>
        <v>VL</v>
      </c>
      <c r="GE42" s="36">
        <f>IF(H44="","",H44)</f>
        <v>4</v>
      </c>
      <c r="GF42" s="36">
        <f>IF(K44="","",K44)</f>
        <v>5</v>
      </c>
      <c r="GG42" s="36" t="str">
        <f>IF(N44="","",N44)</f>
        <v/>
      </c>
      <c r="GH42" s="36" t="str">
        <f>IF(Q44="","",Q44)</f>
        <v/>
      </c>
      <c r="GI42" s="36" t="str">
        <f>IF(T44="","",T44)</f>
        <v/>
      </c>
      <c r="GJ42" s="36" t="str">
        <f>IF(W44="","",W44)</f>
        <v/>
      </c>
      <c r="GK42" s="36" t="str">
        <f>IF(C44="","",C44)</f>
        <v/>
      </c>
      <c r="GM42" s="36" t="str">
        <f>IF(F44="","",F44)</f>
        <v/>
      </c>
      <c r="GN42" s="36">
        <f>IF(I44="","",I44)</f>
        <v>5</v>
      </c>
      <c r="GO42" s="36">
        <f>IF(L44="","",L44)</f>
        <v>4</v>
      </c>
      <c r="GP42" s="36" t="str">
        <f>IF(O44="","",O44)</f>
        <v/>
      </c>
      <c r="GQ42" s="36" t="str">
        <f>IF(R44="","",R44)</f>
        <v/>
      </c>
      <c r="GR42" s="36" t="str">
        <f>IF(U44="","",U44)</f>
        <v/>
      </c>
      <c r="GS42" s="36" t="str">
        <f>IF(X44="","",X44)</f>
        <v/>
      </c>
      <c r="GU42" s="36" t="str">
        <f>IF(F45="","",F45)</f>
        <v/>
      </c>
      <c r="GV42" s="36">
        <f>IF(I45="","",I45)</f>
        <v>12</v>
      </c>
      <c r="GW42" s="36">
        <f>IF(L45="","",L45)</f>
        <v>12</v>
      </c>
      <c r="GX42" s="36" t="str">
        <f>IF(O45="","",O45)</f>
        <v/>
      </c>
      <c r="GY42" s="36" t="str">
        <f>IF(R45="","",R45)</f>
        <v/>
      </c>
      <c r="GZ42" s="36" t="str">
        <f>IF(U45="","",U45)</f>
        <v/>
      </c>
      <c r="HA42" s="153" t="str">
        <f>IF(X45="","",X45)</f>
        <v/>
      </c>
      <c r="HB42" s="183">
        <f>D44</f>
        <v>6</v>
      </c>
      <c r="HC42" s="122">
        <v>3</v>
      </c>
      <c r="HD42" s="36" t="str">
        <f>IF(SUM($BH44:$BK44)&gt;=2,$BH$2,"")</f>
        <v/>
      </c>
      <c r="HE42" s="36" t="str">
        <f t="shared" si="267"/>
        <v/>
      </c>
      <c r="HF42" s="36" t="str">
        <f t="shared" si="200"/>
        <v/>
      </c>
      <c r="HG42" s="36" t="str">
        <f t="shared" si="201"/>
        <v/>
      </c>
      <c r="HH42" s="36" t="str">
        <f t="shared" si="202"/>
        <v/>
      </c>
      <c r="HI42" s="36" t="str">
        <f t="shared" si="203"/>
        <v/>
      </c>
      <c r="HK42" s="36" t="str">
        <f>IF(HE42="","",(INDEX($HD$40:$HD$55,HE42-$HI$36)))</f>
        <v/>
      </c>
      <c r="HM42" s="36">
        <f t="shared" si="268"/>
        <v>999</v>
      </c>
      <c r="HN42" s="36">
        <f t="shared" si="269"/>
        <v>999</v>
      </c>
      <c r="HO42" s="36" t="str">
        <f t="shared" si="204"/>
        <v/>
      </c>
      <c r="HQ42" s="36">
        <f t="shared" si="270"/>
        <v>1</v>
      </c>
      <c r="HR42" s="36">
        <f t="shared" si="271"/>
        <v>0</v>
      </c>
      <c r="HS42" s="36" t="str">
        <f t="shared" ref="HS42:HS55" si="349">IF(HR41=0,(IF($HQ$39=1,HO41,HO42)),"")</f>
        <v/>
      </c>
      <c r="HT42" s="36">
        <f t="shared" si="272"/>
        <v>0</v>
      </c>
      <c r="HU42" s="36" t="str">
        <f t="shared" si="273"/>
        <v/>
      </c>
      <c r="HV42" s="138"/>
      <c r="HW42" s="36" t="str">
        <f t="shared" si="274"/>
        <v/>
      </c>
      <c r="HX42" s="36" t="str">
        <f t="shared" si="275"/>
        <v/>
      </c>
      <c r="HY42" s="36" t="str">
        <f t="shared" si="276"/>
        <v/>
      </c>
      <c r="HZ42" s="36" t="str">
        <f t="shared" si="277"/>
        <v/>
      </c>
      <c r="IA42" s="36" t="str">
        <f t="shared" si="278"/>
        <v/>
      </c>
      <c r="IC42" s="36" t="str">
        <f t="shared" ref="IC42:IC55" si="350">IF(HS42="","",(IF(HW42=HS42,$IC$6,"")))</f>
        <v/>
      </c>
      <c r="ID42" s="36" t="str">
        <f t="shared" si="279"/>
        <v/>
      </c>
      <c r="IE42" s="36" t="str">
        <f t="shared" si="280"/>
        <v/>
      </c>
      <c r="IF42" s="36" t="str">
        <f t="shared" si="281"/>
        <v/>
      </c>
      <c r="IG42" s="36" t="str">
        <f>IF(HW42="","",(IF(IF42=0,$IF$6,"")))</f>
        <v/>
      </c>
      <c r="IH42" s="149" t="str">
        <f t="shared" si="282"/>
        <v/>
      </c>
      <c r="II42" s="138"/>
      <c r="IJ42" s="36" t="str">
        <f t="shared" si="283"/>
        <v/>
      </c>
      <c r="IL42" s="36" t="str">
        <f t="shared" si="284"/>
        <v/>
      </c>
      <c r="IM42" s="36" t="str">
        <f t="shared" si="285"/>
        <v/>
      </c>
      <c r="IN42" s="36" t="str">
        <f t="shared" si="286"/>
        <v/>
      </c>
      <c r="IO42" s="36" t="str">
        <f t="shared" si="287"/>
        <v/>
      </c>
      <c r="IP42" s="36" t="str">
        <f>IN41</f>
        <v/>
      </c>
      <c r="IQ42" s="183">
        <f>D44</f>
        <v>6</v>
      </c>
      <c r="IR42" s="122">
        <v>3</v>
      </c>
      <c r="IS42" s="36" t="str">
        <f>IF(SUM($BH44:$BL44)&gt;1,$BH$2,"")</f>
        <v/>
      </c>
      <c r="IT42" s="36" t="str">
        <f t="shared" si="288"/>
        <v/>
      </c>
      <c r="IU42" s="36" t="str">
        <f t="shared" si="289"/>
        <v/>
      </c>
      <c r="IV42" s="36" t="str">
        <f t="shared" si="290"/>
        <v/>
      </c>
      <c r="IW42" s="36" t="str">
        <f t="shared" si="291"/>
        <v/>
      </c>
      <c r="IX42" s="36" t="str">
        <f t="shared" si="292"/>
        <v/>
      </c>
      <c r="IY42" s="36" t="str">
        <f t="shared" si="293"/>
        <v/>
      </c>
      <c r="IZ42" s="36" t="str">
        <f t="shared" si="294"/>
        <v/>
      </c>
      <c r="JB42" s="36">
        <f t="shared" si="295"/>
        <v>999</v>
      </c>
      <c r="JC42" s="36">
        <f t="shared" si="296"/>
        <v>999</v>
      </c>
      <c r="JD42" s="36" t="str">
        <f t="shared" si="205"/>
        <v/>
      </c>
      <c r="JF42" s="36">
        <f t="shared" si="297"/>
        <v>1</v>
      </c>
      <c r="JG42" s="36">
        <f t="shared" si="298"/>
        <v>0</v>
      </c>
      <c r="JH42" s="36" t="str">
        <f t="shared" si="299"/>
        <v/>
      </c>
      <c r="JI42" s="36">
        <f t="shared" si="300"/>
        <v>0</v>
      </c>
      <c r="JJ42" s="149" t="str">
        <f>IF(AX42="",(IF((JG42*$JI$39)=1,$HS$6,"")),AX42)</f>
        <v/>
      </c>
      <c r="JL42" s="36" t="str">
        <f t="shared" si="301"/>
        <v/>
      </c>
      <c r="JM42" s="36" t="str">
        <f t="shared" ref="JM42:JM52" si="351">IF(JH42="","",(INDEX($GD$40:$GD$55,$JH42-$IX$36)))</f>
        <v/>
      </c>
      <c r="JN42" s="36" t="str">
        <f t="shared" si="302"/>
        <v/>
      </c>
      <c r="JO42" s="36" t="str">
        <f t="shared" si="303"/>
        <v/>
      </c>
      <c r="JP42" s="36" t="str">
        <f t="shared" si="304"/>
        <v/>
      </c>
      <c r="JQ42" s="36" t="str">
        <f t="shared" si="305"/>
        <v/>
      </c>
      <c r="JS42" s="36" t="str">
        <f t="shared" si="306"/>
        <v/>
      </c>
      <c r="JT42" s="36" t="str">
        <f t="shared" si="307"/>
        <v/>
      </c>
      <c r="JU42" s="36" t="str">
        <f t="shared" si="308"/>
        <v/>
      </c>
      <c r="JV42" s="36" t="str">
        <f t="shared" si="309"/>
        <v/>
      </c>
      <c r="JW42" s="36" t="str">
        <f t="shared" si="310"/>
        <v/>
      </c>
      <c r="JX42" s="149" t="str">
        <f t="shared" si="311"/>
        <v/>
      </c>
      <c r="JY42" s="138"/>
      <c r="JZ42" s="36" t="str">
        <f t="shared" si="312"/>
        <v/>
      </c>
      <c r="KB42" s="36" t="str">
        <f t="shared" si="313"/>
        <v/>
      </c>
      <c r="KC42" s="36" t="str">
        <f t="shared" si="314"/>
        <v/>
      </c>
      <c r="KD42" s="36" t="str">
        <f t="shared" si="315"/>
        <v/>
      </c>
      <c r="KF42" s="36" t="str">
        <f>KD41</f>
        <v/>
      </c>
      <c r="KG42" s="183">
        <f>D44</f>
        <v>6</v>
      </c>
      <c r="KH42" s="122">
        <v>3</v>
      </c>
      <c r="KI42" s="36" t="str">
        <f>IF(SUM($BH44:$BM44)&gt;1,$BH$2,"")</f>
        <v/>
      </c>
      <c r="KJ42" s="36" t="str">
        <f t="shared" si="316"/>
        <v/>
      </c>
      <c r="KK42" s="36" t="str">
        <f t="shared" si="317"/>
        <v/>
      </c>
      <c r="KL42" s="36" t="str">
        <f t="shared" si="318"/>
        <v/>
      </c>
      <c r="KM42" s="36" t="str">
        <f t="shared" si="319"/>
        <v/>
      </c>
      <c r="KN42" s="36" t="str">
        <f t="shared" si="320"/>
        <v/>
      </c>
      <c r="KO42" s="36" t="str">
        <f t="shared" si="321"/>
        <v/>
      </c>
      <c r="KP42" s="36" t="str">
        <f t="shared" si="322"/>
        <v/>
      </c>
      <c r="KQ42" s="36" t="str">
        <f t="shared" si="323"/>
        <v/>
      </c>
      <c r="KS42" s="36">
        <f t="shared" si="324"/>
        <v>999</v>
      </c>
      <c r="KT42" s="36">
        <f t="shared" si="325"/>
        <v>999</v>
      </c>
      <c r="KU42" s="36" t="str">
        <f t="shared" si="206"/>
        <v/>
      </c>
      <c r="KW42" s="36">
        <f t="shared" si="326"/>
        <v>1</v>
      </c>
      <c r="KX42" s="36">
        <f t="shared" si="327"/>
        <v>0</v>
      </c>
      <c r="KY42" s="36" t="str">
        <f t="shared" ref="KY42:KY55" si="352">IF(KX41=0,(IF($KW$6=1,KU41,KU42)),"")</f>
        <v/>
      </c>
      <c r="KZ42" s="36">
        <f t="shared" si="328"/>
        <v>0</v>
      </c>
      <c r="LA42" s="149" t="str">
        <f t="shared" si="329"/>
        <v/>
      </c>
      <c r="LC42" s="36" t="str">
        <f t="shared" si="330"/>
        <v/>
      </c>
      <c r="LD42" s="36" t="str">
        <f t="shared" si="331"/>
        <v/>
      </c>
      <c r="LE42" s="36" t="str">
        <f t="shared" si="332"/>
        <v/>
      </c>
      <c r="LF42" s="36" t="str">
        <f t="shared" si="333"/>
        <v/>
      </c>
      <c r="LG42" s="36" t="str">
        <f t="shared" si="334"/>
        <v/>
      </c>
      <c r="LH42" s="36" t="str">
        <f t="shared" si="335"/>
        <v/>
      </c>
      <c r="LI42" s="36" t="str">
        <f t="shared" si="336"/>
        <v/>
      </c>
      <c r="LJ42" s="36" t="str">
        <f t="shared" si="337"/>
        <v/>
      </c>
      <c r="LK42" s="36" t="str">
        <f t="shared" si="207"/>
        <v/>
      </c>
      <c r="LL42" s="36" t="str">
        <f t="shared" si="338"/>
        <v/>
      </c>
      <c r="LM42" s="36" t="str">
        <f t="shared" si="339"/>
        <v/>
      </c>
      <c r="LN42" s="36" t="str">
        <f t="shared" si="340"/>
        <v/>
      </c>
      <c r="LO42" s="149" t="str">
        <f t="shared" si="341"/>
        <v/>
      </c>
      <c r="LP42" s="138"/>
      <c r="LQ42" s="36" t="str">
        <f t="shared" si="342"/>
        <v/>
      </c>
      <c r="LS42" s="36" t="str">
        <f t="shared" ref="LS42:LS55" si="353">IF(LA42="",IF(LC42="",IF(LQ42="","",LQ42),LC42),LA42)</f>
        <v/>
      </c>
      <c r="LT42" s="36" t="str">
        <f t="shared" si="343"/>
        <v/>
      </c>
      <c r="LU42" s="36" t="str">
        <f t="shared" si="208"/>
        <v/>
      </c>
      <c r="LW42" s="36" t="str">
        <f>LU41</f>
        <v/>
      </c>
      <c r="LX42" s="152"/>
    </row>
    <row r="43" spans="1:336" ht="14.25" customHeight="1" thickBot="1" x14ac:dyDescent="0.3">
      <c r="A43" s="375"/>
      <c r="B43" s="374"/>
      <c r="C43" s="363"/>
      <c r="D43" s="362"/>
      <c r="E43" s="346"/>
      <c r="F43" s="29">
        <v>8</v>
      </c>
      <c r="G43" s="30"/>
      <c r="H43" s="334"/>
      <c r="I43" s="29"/>
      <c r="J43" s="30"/>
      <c r="K43" s="334"/>
      <c r="L43" s="29">
        <v>0</v>
      </c>
      <c r="M43" s="30"/>
      <c r="N43" s="334"/>
      <c r="O43" s="29"/>
      <c r="P43" s="30"/>
      <c r="Q43" s="334"/>
      <c r="R43" s="29"/>
      <c r="S43" s="30"/>
      <c r="T43" s="334"/>
      <c r="U43" s="29"/>
      <c r="V43" s="30"/>
      <c r="W43" s="337"/>
      <c r="X43" s="29"/>
      <c r="Y43" s="30"/>
      <c r="Z43" s="338"/>
      <c r="AA43" s="335"/>
      <c r="AB43" s="336"/>
      <c r="AC43" s="355"/>
      <c r="AD43" s="328"/>
      <c r="AE43" s="328"/>
      <c r="AG43" s="252">
        <v>4</v>
      </c>
      <c r="AH43" s="138" t="str">
        <f t="shared" si="209"/>
        <v/>
      </c>
      <c r="AI43" s="177"/>
      <c r="AJ43" s="36" t="str">
        <f t="shared" si="188"/>
        <v/>
      </c>
      <c r="AK43" s="149" t="str">
        <f t="shared" si="210"/>
        <v/>
      </c>
      <c r="AM43" s="138" t="str">
        <f t="shared" ref="AM43:AM55" si="354">IF($N$5="x",EQ43,"")</f>
        <v/>
      </c>
      <c r="AN43" s="177"/>
      <c r="AO43" s="36" t="str">
        <f t="shared" si="189"/>
        <v/>
      </c>
      <c r="AP43" s="149" t="str">
        <f t="shared" si="211"/>
        <v/>
      </c>
      <c r="AR43" s="138" t="str">
        <f t="shared" si="212"/>
        <v/>
      </c>
      <c r="AS43" s="177"/>
      <c r="AT43" s="36" t="str">
        <f t="shared" si="213"/>
        <v/>
      </c>
      <c r="AU43" s="149" t="str">
        <f t="shared" ref="AU43:AU50" si="355">IF($Q$5="","",(IH43))</f>
        <v/>
      </c>
      <c r="AW43" s="138" t="str">
        <f t="shared" si="214"/>
        <v/>
      </c>
      <c r="AX43" s="177"/>
      <c r="AY43" s="36" t="str">
        <f t="shared" si="215"/>
        <v/>
      </c>
      <c r="AZ43" s="149" t="str">
        <f t="shared" si="190"/>
        <v/>
      </c>
      <c r="BB43" s="138" t="str">
        <f>IF(AX40="","",(IF($W$5="x",KY43,"")))</f>
        <v/>
      </c>
      <c r="BC43" s="177"/>
      <c r="BD43" s="36" t="str">
        <f t="shared" si="216"/>
        <v/>
      </c>
      <c r="BE43" s="149" t="str">
        <f t="shared" si="217"/>
        <v/>
      </c>
      <c r="BH43" s="36" t="str">
        <f>IF(E43=$BQ$2,"",(IF(A43="","",(IF(F43="","",(IF(F43&lt;2,1,0)))))))</f>
        <v/>
      </c>
      <c r="BI43" s="36" t="str">
        <f>IF(H43=$BQ$2,"",(IF(A43="","",(IF(I43="","",(IF(I43&lt;2,1,0)))))))</f>
        <v/>
      </c>
      <c r="BJ43" s="36" t="str">
        <f>IF(K43=$BQ$2,"",(IF(A43="","",(IF(L43="","",(IF(L43&lt;2,1,0)))))))</f>
        <v/>
      </c>
      <c r="BK43" s="36" t="str">
        <f>IF(W43=$BQ$2,"",(IF(A43="","",(IF(X43="","",(IF(X43&lt;2,1,0)))))))</f>
        <v/>
      </c>
      <c r="BP43" s="36" t="str">
        <f>IF(BH43="","",(SUM(BH43:BK43)))</f>
        <v/>
      </c>
      <c r="BR43" s="36" t="str">
        <f>BP46</f>
        <v/>
      </c>
      <c r="BS43" s="36" t="str">
        <f>D46</f>
        <v/>
      </c>
      <c r="BT43" s="122" t="str">
        <f>IF(SUM(BH46,BI46)=2,$BH$2,"")</f>
        <v/>
      </c>
      <c r="BV43" s="36">
        <f t="shared" si="191"/>
        <v>999</v>
      </c>
      <c r="BW43" s="36">
        <f t="shared" si="192"/>
        <v>999</v>
      </c>
      <c r="BX43" s="36">
        <f t="shared" si="344"/>
        <v>4</v>
      </c>
      <c r="BY43" s="36">
        <f t="shared" si="218"/>
        <v>999</v>
      </c>
      <c r="CB43" s="122">
        <v>4</v>
      </c>
      <c r="CC43" s="36">
        <f>IF((D46)="",0,D46)</f>
        <v>0</v>
      </c>
      <c r="CD43" s="36">
        <f t="shared" si="219"/>
        <v>0</v>
      </c>
      <c r="CE43" s="36">
        <f t="shared" si="220"/>
        <v>0</v>
      </c>
      <c r="CH43" s="36">
        <f t="shared" si="345"/>
        <v>0</v>
      </c>
      <c r="CI43" s="36">
        <f t="shared" si="221"/>
        <v>0</v>
      </c>
      <c r="CJ43" s="36">
        <f t="shared" si="222"/>
        <v>0</v>
      </c>
      <c r="CM43" s="36">
        <f t="shared" si="346"/>
        <v>0</v>
      </c>
      <c r="CO43" s="36">
        <f t="shared" si="223"/>
        <v>0</v>
      </c>
      <c r="CP43" s="36" t="str">
        <f t="shared" si="224"/>
        <v/>
      </c>
      <c r="CQ43" s="36">
        <f>IF(CM43=0,$BK$2,(IF(CP43=$BH$2,$BK$2,CM43)))</f>
        <v>999</v>
      </c>
      <c r="CR43" s="36">
        <f t="shared" si="226"/>
        <v>4</v>
      </c>
      <c r="CS43" s="36">
        <f t="shared" si="227"/>
        <v>5</v>
      </c>
      <c r="CT43" s="36">
        <f t="shared" si="193"/>
        <v>999</v>
      </c>
      <c r="CU43" s="36" t="str">
        <f t="shared" si="228"/>
        <v/>
      </c>
      <c r="CV43" s="36">
        <f t="shared" si="229"/>
        <v>0</v>
      </c>
      <c r="CW43" s="36">
        <f t="shared" si="230"/>
        <v>0</v>
      </c>
      <c r="CX43" s="149" t="str">
        <f t="shared" si="231"/>
        <v/>
      </c>
      <c r="DA43" s="36" t="str">
        <f>D46</f>
        <v/>
      </c>
      <c r="DB43" s="36" t="str">
        <f>E46</f>
        <v/>
      </c>
      <c r="DC43" s="36" t="str">
        <f>H46</f>
        <v/>
      </c>
      <c r="DD43" s="36" t="str">
        <f t="shared" si="232"/>
        <v/>
      </c>
      <c r="DF43" s="36" t="str">
        <f t="shared" si="233"/>
        <v/>
      </c>
      <c r="DG43" s="36" t="str">
        <f t="shared" si="234"/>
        <v/>
      </c>
      <c r="DH43" s="36" t="str">
        <f t="shared" si="235"/>
        <v/>
      </c>
      <c r="DI43" s="36" t="str">
        <f t="shared" si="194"/>
        <v/>
      </c>
      <c r="DJ43" s="36" t="str">
        <f t="shared" si="236"/>
        <v/>
      </c>
      <c r="DL43" s="36" t="str">
        <f t="shared" si="195"/>
        <v/>
      </c>
      <c r="DM43" s="149" t="str">
        <f t="shared" si="237"/>
        <v/>
      </c>
      <c r="DN43" s="36" t="str">
        <f t="shared" si="238"/>
        <v/>
      </c>
      <c r="DO43" s="36" t="str">
        <f t="shared" si="239"/>
        <v/>
      </c>
      <c r="DP43" s="36" t="str">
        <f t="shared" si="240"/>
        <v/>
      </c>
      <c r="DR43" s="36" t="str">
        <f t="shared" si="241"/>
        <v/>
      </c>
      <c r="DS43" s="36" t="str">
        <f t="shared" si="242"/>
        <v/>
      </c>
      <c r="DT43" s="36" t="str">
        <f t="shared" si="243"/>
        <v/>
      </c>
      <c r="DX43" s="152" t="str">
        <f t="shared" si="244"/>
        <v/>
      </c>
      <c r="DY43" s="36" t="str">
        <f t="shared" si="245"/>
        <v/>
      </c>
      <c r="DZ43" s="36" t="str">
        <f t="shared" si="246"/>
        <v/>
      </c>
      <c r="EA43" s="36" t="str">
        <f t="shared" si="247"/>
        <v/>
      </c>
      <c r="EB43" s="173" t="str">
        <f t="shared" si="248"/>
        <v/>
      </c>
      <c r="EC43" s="36" t="str">
        <f>D46</f>
        <v/>
      </c>
      <c r="ED43" s="122">
        <v>4</v>
      </c>
      <c r="EE43" s="36" t="str">
        <f t="shared" si="249"/>
        <v/>
      </c>
      <c r="EF43" s="36">
        <f t="shared" si="250"/>
        <v>0</v>
      </c>
      <c r="EG43" s="36" t="str">
        <f>IF(SUM($BH$46:$BJ$46)=2,$BH$2,"")</f>
        <v/>
      </c>
      <c r="EH43" s="36" t="str">
        <f>IF(EE43="","",(INDEX(EG40:EG55,EE43-$CO$39)))</f>
        <v/>
      </c>
      <c r="EJ43" s="36">
        <f t="shared" si="251"/>
        <v>999</v>
      </c>
      <c r="EK43" s="36">
        <f>SMALL(EJ40:EJ55,ED43)</f>
        <v>999</v>
      </c>
      <c r="EL43" s="36" t="str">
        <f t="shared" ref="EL43:EL55" si="356">IF(EK43=$BK$2,"",(INDEX($EE$40:$EE$55,EK43)))</f>
        <v/>
      </c>
      <c r="EM43" s="36">
        <f t="shared" si="252"/>
        <v>1</v>
      </c>
      <c r="EN43" s="36">
        <f t="shared" si="253"/>
        <v>0</v>
      </c>
      <c r="EQ43" s="36" t="str">
        <f>IF(EL43="","",(IF($CV$39=0,EL43,EL42)))</f>
        <v/>
      </c>
      <c r="ER43" s="36">
        <f t="shared" si="254"/>
        <v>0</v>
      </c>
      <c r="ES43" s="36">
        <f t="shared" si="255"/>
        <v>0</v>
      </c>
      <c r="ET43" s="149" t="str">
        <f t="shared" si="256"/>
        <v/>
      </c>
      <c r="EV43" s="36" t="str">
        <f>D46</f>
        <v/>
      </c>
      <c r="EW43" s="36" t="str">
        <f>E46</f>
        <v/>
      </c>
      <c r="EX43" s="36" t="str">
        <f>H46</f>
        <v/>
      </c>
      <c r="EY43" s="36" t="str">
        <f>K46</f>
        <v/>
      </c>
      <c r="EZ43" s="36" t="str">
        <f t="shared" si="257"/>
        <v/>
      </c>
      <c r="FB43" s="36" t="str">
        <f t="shared" si="258"/>
        <v/>
      </c>
      <c r="FC43" s="36" t="str">
        <f t="shared" si="259"/>
        <v/>
      </c>
      <c r="FD43" s="36" t="str">
        <f t="shared" si="196"/>
        <v/>
      </c>
      <c r="FE43" s="36" t="str">
        <f t="shared" si="197"/>
        <v/>
      </c>
      <c r="FF43" s="36" t="str">
        <f t="shared" si="198"/>
        <v/>
      </c>
      <c r="FG43" s="36" t="str">
        <f t="shared" si="199"/>
        <v/>
      </c>
      <c r="FI43" s="36" t="str">
        <f t="shared" si="260"/>
        <v/>
      </c>
      <c r="FL43" s="36" t="str">
        <f t="shared" si="261"/>
        <v/>
      </c>
      <c r="FM43" s="36" t="str">
        <f t="shared" si="347"/>
        <v/>
      </c>
      <c r="FN43" s="36" t="str">
        <f t="shared" si="262"/>
        <v/>
      </c>
      <c r="FO43" s="36" t="str">
        <f t="shared" si="263"/>
        <v/>
      </c>
      <c r="FP43" s="36" t="str">
        <f>IF(FN43="","",(IF(FO43="",(IF(FN43=FO40,FN40,IF(FN43=FO41,FN41,IF(FN43=FO42,FN42,IF(FN43=FO43,FN43,IF(FN43=FO44,FN44,IF(FN43=FO45,FN45,IF(FN43=FO46,FN46,IF(FN43=FO47,FN47,""))))))))),FO43)))</f>
        <v/>
      </c>
      <c r="FQ43" s="36" t="str">
        <f>IF(FN43="","",(IF(FN43=FO48,FN48,IF(FN43=FO49,FN49,IF(FN43=FO50,FN50,IF(FN43=FO51,FN51,IF(FN43=FO52,FN52,IF(FN43=FO53,FN53,IF(FN43=FO54,FN54,IF(FN43=FO55,FN55,""))))))))))</f>
        <v/>
      </c>
      <c r="FR43" s="173" t="str">
        <f t="shared" si="264"/>
        <v/>
      </c>
      <c r="FT43" s="36">
        <f t="shared" si="348"/>
        <v>7</v>
      </c>
      <c r="FV43" s="36" t="str">
        <f t="shared" si="265"/>
        <v/>
      </c>
      <c r="FW43" s="36" t="str">
        <f>IF(FT43=FN48,FR48,IF(FT43=FN49,FR49,IF(FT43=FN50,FR50,IF(FT43=FN51,FR51,IF(FT43=FN52,FR52,IF(FT43=FN53,FR53,IF(FT43=FN54,FR54,IF(FT43=FN55,FR55,""))))))))</f>
        <v/>
      </c>
      <c r="FX43" s="36" t="str">
        <f t="shared" si="266"/>
        <v/>
      </c>
      <c r="GA43" s="152"/>
      <c r="GB43" s="122">
        <v>4</v>
      </c>
      <c r="GC43" s="36" t="str">
        <f>IF(D46="","",D46)</f>
        <v/>
      </c>
      <c r="GD43" s="36" t="str">
        <f>IF(E46="","",E46)</f>
        <v/>
      </c>
      <c r="GE43" s="36" t="str">
        <f>IF(H46="","",H46)</f>
        <v/>
      </c>
      <c r="GF43" s="36" t="str">
        <f>IF(K46="","",K46)</f>
        <v/>
      </c>
      <c r="GG43" s="36" t="str">
        <f>IF(N46="","",N46)</f>
        <v/>
      </c>
      <c r="GH43" s="36" t="str">
        <f>IF(Q46="","",Q46)</f>
        <v/>
      </c>
      <c r="GI43" s="36" t="str">
        <f>IF(T46="","",T46)</f>
        <v/>
      </c>
      <c r="GJ43" s="36" t="str">
        <f>IF(W46="","",W46)</f>
        <v/>
      </c>
      <c r="GK43" s="36" t="str">
        <f>IF(C46="","",C46)</f>
        <v/>
      </c>
      <c r="GM43" s="36" t="str">
        <f>IF(F46="","",F46)</f>
        <v/>
      </c>
      <c r="GN43" s="36" t="str">
        <f>IF(I46="","",I46)</f>
        <v/>
      </c>
      <c r="GO43" s="36" t="str">
        <f>IF(L46="","",L46)</f>
        <v/>
      </c>
      <c r="GP43" s="36" t="str">
        <f>IF(O46="","",O46)</f>
        <v/>
      </c>
      <c r="GQ43" s="36" t="str">
        <f>IF(R46="","",R46)</f>
        <v/>
      </c>
      <c r="GR43" s="36" t="str">
        <f>IF(U46="","",U46)</f>
        <v/>
      </c>
      <c r="GS43" s="36" t="str">
        <f>IF(X46="","",X46)</f>
        <v/>
      </c>
      <c r="GU43" s="36" t="str">
        <f>IF(F47="","",F47)</f>
        <v/>
      </c>
      <c r="GV43" s="36" t="str">
        <f>IF(I47="","",I47)</f>
        <v/>
      </c>
      <c r="GW43" s="36" t="str">
        <f>IF(L47="","",L47)</f>
        <v/>
      </c>
      <c r="GX43" s="36" t="str">
        <f>IF(O47="","",O47)</f>
        <v/>
      </c>
      <c r="GY43" s="36" t="str">
        <f>IF(R47="","",R47)</f>
        <v/>
      </c>
      <c r="GZ43" s="36" t="str">
        <f>IF(U47="","",U47)</f>
        <v/>
      </c>
      <c r="HA43" s="153" t="str">
        <f>IF(X47="","",X47)</f>
        <v/>
      </c>
      <c r="HB43" s="183" t="str">
        <f>D46</f>
        <v/>
      </c>
      <c r="HC43" s="122">
        <v>4</v>
      </c>
      <c r="HD43" s="36" t="str">
        <f>IF(SUM($BH46:$BK46)&gt;=2,$BH$2,"")</f>
        <v/>
      </c>
      <c r="HE43" s="36" t="str">
        <f t="shared" si="267"/>
        <v/>
      </c>
      <c r="HF43" s="36" t="str">
        <f t="shared" si="200"/>
        <v/>
      </c>
      <c r="HG43" s="36" t="str">
        <f t="shared" si="201"/>
        <v/>
      </c>
      <c r="HH43" s="36" t="str">
        <f t="shared" si="202"/>
        <v/>
      </c>
      <c r="HI43" s="36" t="str">
        <f t="shared" si="203"/>
        <v/>
      </c>
      <c r="HK43" s="36" t="str">
        <f>IF(HE43="","",(INDEX($HD$40:$HD$55,HE43-$HI$36)))</f>
        <v/>
      </c>
      <c r="HM43" s="36">
        <f t="shared" si="268"/>
        <v>999</v>
      </c>
      <c r="HN43" s="36">
        <f t="shared" si="269"/>
        <v>999</v>
      </c>
      <c r="HO43" s="36" t="str">
        <f t="shared" si="204"/>
        <v/>
      </c>
      <c r="HQ43" s="36">
        <f t="shared" si="270"/>
        <v>1</v>
      </c>
      <c r="HR43" s="36">
        <f t="shared" si="271"/>
        <v>0</v>
      </c>
      <c r="HS43" s="36" t="str">
        <f t="shared" si="349"/>
        <v/>
      </c>
      <c r="HT43" s="36">
        <f t="shared" si="272"/>
        <v>0</v>
      </c>
      <c r="HU43" s="36" t="str">
        <f t="shared" si="273"/>
        <v/>
      </c>
      <c r="HV43" s="138"/>
      <c r="HW43" s="36" t="str">
        <f t="shared" si="274"/>
        <v/>
      </c>
      <c r="HX43" s="36" t="str">
        <f t="shared" si="275"/>
        <v/>
      </c>
      <c r="HY43" s="36" t="str">
        <f t="shared" si="276"/>
        <v/>
      </c>
      <c r="HZ43" s="36" t="str">
        <f t="shared" si="277"/>
        <v/>
      </c>
      <c r="IA43" s="36" t="str">
        <f t="shared" si="278"/>
        <v/>
      </c>
      <c r="IC43" s="36" t="str">
        <f t="shared" si="350"/>
        <v/>
      </c>
      <c r="ID43" s="36" t="str">
        <f t="shared" si="279"/>
        <v/>
      </c>
      <c r="IE43" s="36" t="str">
        <f t="shared" si="280"/>
        <v/>
      </c>
      <c r="IF43" s="36" t="str">
        <f t="shared" si="281"/>
        <v/>
      </c>
      <c r="IG43" s="36" t="str">
        <f t="shared" ref="IG43:IG48" si="357">IF(HW43="","",(IF(IF43=0,$IF$6,"")))</f>
        <v/>
      </c>
      <c r="IH43" s="149" t="str">
        <f t="shared" si="282"/>
        <v/>
      </c>
      <c r="II43" s="138"/>
      <c r="IJ43" s="36" t="str">
        <f t="shared" si="283"/>
        <v/>
      </c>
      <c r="IL43" s="36" t="str">
        <f t="shared" si="284"/>
        <v/>
      </c>
      <c r="IM43" s="36" t="str">
        <f t="shared" si="285"/>
        <v/>
      </c>
      <c r="IN43" s="36" t="str">
        <f>IF(HB43=$IM$40,$IL$40,IF(HB43=$IM$41,$IL$41,IF(HB43=$IM$42,$IL$42,IF(HB43=$IM$43,$IL$43,IF(HB43=$IM$44,$IL$44,IF(HB43=$IM$45,$IL$45,IF(HB43=$IM$46,$IL$46,IF(HB43=$IM$47,$IL$47,""))))))))</f>
        <v/>
      </c>
      <c r="IO43" s="36" t="str">
        <f t="shared" si="287"/>
        <v/>
      </c>
      <c r="IQ43" s="183" t="str">
        <f>D46</f>
        <v/>
      </c>
      <c r="IR43" s="122">
        <v>4</v>
      </c>
      <c r="IS43" s="36" t="str">
        <f>IF(SUM($BH46:$BL46)&gt;1,$BH$2,"")</f>
        <v/>
      </c>
      <c r="IT43" s="36" t="str">
        <f t="shared" si="288"/>
        <v/>
      </c>
      <c r="IU43" s="36" t="str">
        <f t="shared" si="289"/>
        <v/>
      </c>
      <c r="IV43" s="36" t="str">
        <f t="shared" si="290"/>
        <v/>
      </c>
      <c r="IW43" s="36" t="str">
        <f t="shared" si="291"/>
        <v/>
      </c>
      <c r="IX43" s="36" t="str">
        <f t="shared" si="292"/>
        <v/>
      </c>
      <c r="IY43" s="36" t="str">
        <f t="shared" si="293"/>
        <v/>
      </c>
      <c r="IZ43" s="36" t="str">
        <f t="shared" si="294"/>
        <v/>
      </c>
      <c r="JB43" s="36">
        <f t="shared" si="295"/>
        <v>999</v>
      </c>
      <c r="JC43" s="36">
        <f t="shared" si="296"/>
        <v>999</v>
      </c>
      <c r="JD43" s="36" t="str">
        <f t="shared" si="205"/>
        <v/>
      </c>
      <c r="JF43" s="36">
        <f t="shared" si="297"/>
        <v>1</v>
      </c>
      <c r="JG43" s="36">
        <f t="shared" si="298"/>
        <v>0</v>
      </c>
      <c r="JH43" s="36" t="str">
        <f t="shared" si="299"/>
        <v/>
      </c>
      <c r="JI43" s="36">
        <f t="shared" si="300"/>
        <v>0</v>
      </c>
      <c r="JJ43" s="149" t="str">
        <f>IF((JG43*$JI$39)=1,$HS$6,"")</f>
        <v/>
      </c>
      <c r="JL43" s="36" t="str">
        <f t="shared" si="301"/>
        <v/>
      </c>
      <c r="JM43" s="36" t="str">
        <f t="shared" si="351"/>
        <v/>
      </c>
      <c r="JN43" s="36" t="str">
        <f t="shared" si="302"/>
        <v/>
      </c>
      <c r="JO43" s="36" t="str">
        <f t="shared" si="303"/>
        <v/>
      </c>
      <c r="JP43" s="36" t="str">
        <f t="shared" si="304"/>
        <v/>
      </c>
      <c r="JQ43" s="36" t="str">
        <f t="shared" si="305"/>
        <v/>
      </c>
      <c r="JS43" s="36" t="str">
        <f t="shared" si="306"/>
        <v/>
      </c>
      <c r="JT43" s="36" t="str">
        <f t="shared" si="307"/>
        <v/>
      </c>
      <c r="JU43" s="36" t="str">
        <f t="shared" si="308"/>
        <v/>
      </c>
      <c r="JV43" s="36" t="str">
        <f t="shared" si="309"/>
        <v/>
      </c>
      <c r="JW43" s="36" t="str">
        <f t="shared" si="310"/>
        <v/>
      </c>
      <c r="JX43" s="149" t="str">
        <f t="shared" si="311"/>
        <v/>
      </c>
      <c r="JY43" s="138"/>
      <c r="JZ43" s="36" t="str">
        <f t="shared" si="312"/>
        <v/>
      </c>
      <c r="KB43" s="36" t="str">
        <f t="shared" si="313"/>
        <v/>
      </c>
      <c r="KC43" s="36" t="str">
        <f t="shared" si="314"/>
        <v/>
      </c>
      <c r="KD43" s="36" t="str">
        <f t="shared" si="315"/>
        <v/>
      </c>
      <c r="KG43" s="183" t="str">
        <f>D46</f>
        <v/>
      </c>
      <c r="KH43" s="122">
        <v>4</v>
      </c>
      <c r="KI43" s="36" t="str">
        <f>IF(SUM($BH46:$BM46)&gt;1,$BH$2,"")</f>
        <v/>
      </c>
      <c r="KJ43" s="36" t="str">
        <f t="shared" si="316"/>
        <v/>
      </c>
      <c r="KK43" s="36" t="str">
        <f t="shared" si="317"/>
        <v/>
      </c>
      <c r="KL43" s="36" t="str">
        <f t="shared" si="318"/>
        <v/>
      </c>
      <c r="KM43" s="36" t="str">
        <f t="shared" si="319"/>
        <v/>
      </c>
      <c r="KN43" s="36" t="str">
        <f t="shared" si="320"/>
        <v/>
      </c>
      <c r="KO43" s="36" t="str">
        <f t="shared" si="321"/>
        <v/>
      </c>
      <c r="KP43" s="36" t="str">
        <f t="shared" si="322"/>
        <v/>
      </c>
      <c r="KQ43" s="36" t="str">
        <f t="shared" si="323"/>
        <v/>
      </c>
      <c r="KS43" s="36">
        <f t="shared" si="324"/>
        <v>999</v>
      </c>
      <c r="KT43" s="36">
        <f t="shared" si="325"/>
        <v>999</v>
      </c>
      <c r="KU43" s="36" t="str">
        <f t="shared" si="206"/>
        <v/>
      </c>
      <c r="KW43" s="36">
        <f t="shared" si="326"/>
        <v>1</v>
      </c>
      <c r="KX43" s="36">
        <f t="shared" si="327"/>
        <v>0</v>
      </c>
      <c r="KY43" s="36" t="str">
        <f t="shared" si="352"/>
        <v/>
      </c>
      <c r="KZ43" s="36">
        <f t="shared" si="328"/>
        <v>0</v>
      </c>
      <c r="LA43" s="149" t="str">
        <f t="shared" si="329"/>
        <v/>
      </c>
      <c r="LC43" s="36" t="str">
        <f t="shared" si="330"/>
        <v/>
      </c>
      <c r="LD43" s="36" t="str">
        <f t="shared" si="331"/>
        <v/>
      </c>
      <c r="LE43" s="36" t="str">
        <f t="shared" si="332"/>
        <v/>
      </c>
      <c r="LF43" s="36" t="str">
        <f t="shared" si="333"/>
        <v/>
      </c>
      <c r="LG43" s="36" t="str">
        <f t="shared" si="334"/>
        <v/>
      </c>
      <c r="LH43" s="36" t="str">
        <f t="shared" si="335"/>
        <v/>
      </c>
      <c r="LI43" s="36" t="str">
        <f t="shared" si="336"/>
        <v/>
      </c>
      <c r="LJ43" s="36" t="str">
        <f t="shared" si="337"/>
        <v/>
      </c>
      <c r="LK43" s="36" t="str">
        <f t="shared" si="207"/>
        <v/>
      </c>
      <c r="LL43" s="36" t="str">
        <f t="shared" si="338"/>
        <v/>
      </c>
      <c r="LM43" s="36" t="str">
        <f t="shared" si="339"/>
        <v/>
      </c>
      <c r="LN43" s="36" t="str">
        <f t="shared" si="340"/>
        <v/>
      </c>
      <c r="LO43" s="149" t="str">
        <f t="shared" si="341"/>
        <v/>
      </c>
      <c r="LP43" s="138"/>
      <c r="LQ43" s="36" t="str">
        <f t="shared" si="342"/>
        <v/>
      </c>
      <c r="LS43" s="36" t="str">
        <f t="shared" si="353"/>
        <v/>
      </c>
      <c r="LT43" s="36" t="str">
        <f t="shared" si="343"/>
        <v/>
      </c>
      <c r="LU43" s="36" t="str">
        <f t="shared" si="208"/>
        <v/>
      </c>
      <c r="LW43" s="153"/>
      <c r="LX43" s="152"/>
    </row>
    <row r="44" spans="1:336" ht="14.25" customHeight="1" thickBot="1" x14ac:dyDescent="0.3">
      <c r="A44" s="375" t="str">
        <f>'Vážní listina'!HQ43</f>
        <v>Novosadová Natália</v>
      </c>
      <c r="B44" s="374" t="str">
        <f>'Vážní listina'!HR43</f>
        <v>Nitra</v>
      </c>
      <c r="C44" s="363" t="str">
        <f>IF(BP44="","",(IF(BP44&gt;1,$BH$2,"")))</f>
        <v/>
      </c>
      <c r="D44" s="361">
        <f>'Vážní listina'!HK43</f>
        <v>6</v>
      </c>
      <c r="E44" s="343" t="str">
        <f>'Vážní listina'!HL43</f>
        <v>VL</v>
      </c>
      <c r="F44" s="26"/>
      <c r="G44" s="33"/>
      <c r="H44" s="343">
        <f>IF(H5="","",'Vážní listina'!HM43)</f>
        <v>4</v>
      </c>
      <c r="I44" s="26">
        <v>5</v>
      </c>
      <c r="J44" s="33"/>
      <c r="K44" s="334">
        <f>IF(K5="","",DV44)</f>
        <v>5</v>
      </c>
      <c r="L44" s="26">
        <v>4</v>
      </c>
      <c r="M44" s="33"/>
      <c r="N44" s="334" t="str">
        <f>IF(N5="","",FZ44)</f>
        <v/>
      </c>
      <c r="O44" s="26"/>
      <c r="P44" s="33"/>
      <c r="Q44" s="334" t="str">
        <f>IF(Q5="","",IP44)</f>
        <v/>
      </c>
      <c r="R44" s="26"/>
      <c r="S44" s="33"/>
      <c r="T44" s="334" t="str">
        <f>IF(T5="","",KF44)</f>
        <v/>
      </c>
      <c r="U44" s="26"/>
      <c r="V44" s="33"/>
      <c r="W44" s="337" t="str">
        <f>IF(W5="","",LW44)</f>
        <v/>
      </c>
      <c r="X44" s="26"/>
      <c r="Y44" s="33"/>
      <c r="Z44" s="338">
        <f>IF(A44="","",(F44+I44+L44+O44+R44+U44+X44))</f>
        <v>9</v>
      </c>
      <c r="AA44" s="335">
        <f>IF(A44="","",(F45+I45+L45+O45+R45+U45+X45))</f>
        <v>24</v>
      </c>
      <c r="AB44" s="336">
        <f>IF(A44="","",(G44+J44+M44+P44+S44+V44+Y44))</f>
        <v>0</v>
      </c>
      <c r="AC44" s="355" t="str">
        <f>HF116</f>
        <v>F</v>
      </c>
      <c r="AD44" s="329"/>
      <c r="AE44" s="328">
        <f>IF(D44="","",(IF('Tabulka finále'!$BK$47=1,(IF('Tabulka finále'!$K$56="","",(IF($AC$5="","",(IF($H$5="","",(FW154))))))),"")))</f>
        <v>1</v>
      </c>
      <c r="AG44" s="252">
        <v>5</v>
      </c>
      <c r="AH44" s="138" t="str">
        <f t="shared" si="209"/>
        <v/>
      </c>
      <c r="AI44" s="177"/>
      <c r="AJ44" s="36" t="str">
        <f t="shared" si="188"/>
        <v/>
      </c>
      <c r="AK44" s="149" t="str">
        <f t="shared" si="210"/>
        <v/>
      </c>
      <c r="AM44" s="138" t="str">
        <f t="shared" si="354"/>
        <v/>
      </c>
      <c r="AN44" s="177"/>
      <c r="AO44" s="36" t="str">
        <f t="shared" si="189"/>
        <v/>
      </c>
      <c r="AP44" s="149" t="str">
        <f t="shared" si="211"/>
        <v/>
      </c>
      <c r="AR44" s="138" t="str">
        <f t="shared" si="212"/>
        <v/>
      </c>
      <c r="AS44" s="177"/>
      <c r="AT44" s="36" t="str">
        <f t="shared" si="213"/>
        <v/>
      </c>
      <c r="AU44" s="149" t="str">
        <f t="shared" si="355"/>
        <v/>
      </c>
      <c r="AW44" s="138" t="str">
        <f t="shared" si="214"/>
        <v/>
      </c>
      <c r="AX44" s="177"/>
      <c r="AY44" s="36" t="str">
        <f t="shared" si="215"/>
        <v/>
      </c>
      <c r="AZ44" s="149" t="str">
        <f t="shared" si="190"/>
        <v/>
      </c>
      <c r="BB44" s="138" t="str">
        <f t="shared" ref="BB44:BB50" si="358">IF($W$5="x",KY44,"")</f>
        <v/>
      </c>
      <c r="BC44" s="177"/>
      <c r="BD44" s="36" t="str">
        <f t="shared" si="216"/>
        <v/>
      </c>
      <c r="BE44" s="149" t="str">
        <f t="shared" si="217"/>
        <v/>
      </c>
      <c r="BG44" s="36">
        <f>IF(A44="",0,1)</f>
        <v>1</v>
      </c>
      <c r="BH44" s="36" t="str">
        <f>(IF(F44="","",(IF(F44&lt;2,1,0))))</f>
        <v/>
      </c>
      <c r="BI44" s="36">
        <f>(IF(I44="","",(IF(I44&lt;2,1,0))))</f>
        <v>0</v>
      </c>
      <c r="BJ44" s="36">
        <f>(IF(L44="","",(IF(L44&lt;2,1,0))))</f>
        <v>0</v>
      </c>
      <c r="BK44" s="36" t="str">
        <f>(IF(O44="","",(IF(O44&lt;2,1,0))))</f>
        <v/>
      </c>
      <c r="BL44" s="36" t="str">
        <f>IF(R44="","",(IF(R44&lt;2,1,0)))</f>
        <v/>
      </c>
      <c r="BM44" s="36" t="str">
        <f>IF(U44="","",(IF(U44&lt;2,1,0)))</f>
        <v/>
      </c>
      <c r="BN44" s="36" t="str">
        <f>IF(X44="","",(IF(X44&lt;2,1,0)))</f>
        <v/>
      </c>
      <c r="BP44" s="36">
        <f>IF(BG44=0,"",(SUM(BH44:BN44)))</f>
        <v>0</v>
      </c>
      <c r="BR44" s="36" t="str">
        <f>BP48</f>
        <v/>
      </c>
      <c r="BS44" s="36" t="str">
        <f>D48</f>
        <v/>
      </c>
      <c r="BT44" s="122" t="str">
        <f>IF(SUM(BH48,BI48)=2,$BH$2,"")</f>
        <v/>
      </c>
      <c r="BV44" s="36">
        <f t="shared" si="191"/>
        <v>999</v>
      </c>
      <c r="BW44" s="36">
        <f t="shared" si="192"/>
        <v>999</v>
      </c>
      <c r="BX44" s="36">
        <f t="shared" si="344"/>
        <v>5</v>
      </c>
      <c r="BY44" s="36">
        <f t="shared" si="218"/>
        <v>999</v>
      </c>
      <c r="CB44" s="122">
        <v>5</v>
      </c>
      <c r="CC44" s="36">
        <f>IF((D48)="",0,D48)</f>
        <v>0</v>
      </c>
      <c r="CD44" s="36">
        <f t="shared" si="219"/>
        <v>0</v>
      </c>
      <c r="CE44" s="36">
        <f t="shared" si="220"/>
        <v>0</v>
      </c>
      <c r="CH44" s="36">
        <f t="shared" si="345"/>
        <v>0</v>
      </c>
      <c r="CI44" s="36">
        <f t="shared" si="221"/>
        <v>0</v>
      </c>
      <c r="CJ44" s="36">
        <f t="shared" si="222"/>
        <v>0</v>
      </c>
      <c r="CM44" s="36">
        <f t="shared" si="346"/>
        <v>0</v>
      </c>
      <c r="CO44" s="36">
        <f t="shared" si="223"/>
        <v>0</v>
      </c>
      <c r="CP44" s="36" t="str">
        <f t="shared" si="224"/>
        <v/>
      </c>
      <c r="CQ44" s="36">
        <f t="shared" si="225"/>
        <v>999</v>
      </c>
      <c r="CR44" s="36">
        <f t="shared" si="226"/>
        <v>5</v>
      </c>
      <c r="CS44" s="36">
        <f t="shared" si="227"/>
        <v>6</v>
      </c>
      <c r="CT44" s="36">
        <f t="shared" si="193"/>
        <v>999</v>
      </c>
      <c r="CU44" s="36" t="str">
        <f t="shared" si="228"/>
        <v/>
      </c>
      <c r="CV44" s="36">
        <f t="shared" si="229"/>
        <v>0</v>
      </c>
      <c r="CW44" s="36">
        <f t="shared" si="230"/>
        <v>0</v>
      </c>
      <c r="CX44" s="149" t="str">
        <f t="shared" si="231"/>
        <v/>
      </c>
      <c r="DA44" s="36" t="str">
        <f>D48</f>
        <v/>
      </c>
      <c r="DB44" s="36" t="str">
        <f>E48</f>
        <v/>
      </c>
      <c r="DC44" s="36" t="str">
        <f>H48</f>
        <v/>
      </c>
      <c r="DD44" s="36" t="str">
        <f t="shared" si="232"/>
        <v/>
      </c>
      <c r="DF44" s="36" t="str">
        <f t="shared" si="233"/>
        <v/>
      </c>
      <c r="DG44" s="36" t="str">
        <f t="shared" si="234"/>
        <v/>
      </c>
      <c r="DH44" s="36" t="str">
        <f t="shared" si="235"/>
        <v/>
      </c>
      <c r="DI44" s="36" t="str">
        <f t="shared" si="194"/>
        <v/>
      </c>
      <c r="DJ44" s="36" t="str">
        <f t="shared" si="236"/>
        <v/>
      </c>
      <c r="DL44" s="36" t="str">
        <f t="shared" si="195"/>
        <v/>
      </c>
      <c r="DM44" s="149" t="str">
        <f t="shared" si="237"/>
        <v/>
      </c>
      <c r="DN44" s="36" t="str">
        <f t="shared" si="238"/>
        <v/>
      </c>
      <c r="DO44" s="36" t="str">
        <f t="shared" si="239"/>
        <v/>
      </c>
      <c r="DP44" s="36" t="str">
        <f t="shared" si="240"/>
        <v/>
      </c>
      <c r="DR44" s="36" t="str">
        <f t="shared" si="241"/>
        <v/>
      </c>
      <c r="DS44" s="36" t="str">
        <f t="shared" si="242"/>
        <v/>
      </c>
      <c r="DT44" s="36" t="str">
        <f t="shared" si="243"/>
        <v/>
      </c>
      <c r="DV44" s="36">
        <f>DT42</f>
        <v>5</v>
      </c>
      <c r="DX44" s="152" t="str">
        <f t="shared" si="244"/>
        <v/>
      </c>
      <c r="DY44" s="36" t="str">
        <f t="shared" si="245"/>
        <v/>
      </c>
      <c r="DZ44" s="36" t="str">
        <f t="shared" si="246"/>
        <v/>
      </c>
      <c r="EA44" s="36" t="str">
        <f t="shared" si="247"/>
        <v/>
      </c>
      <c r="EB44" s="173" t="str">
        <f t="shared" si="248"/>
        <v/>
      </c>
      <c r="EC44" s="36" t="str">
        <f>D48</f>
        <v/>
      </c>
      <c r="ED44" s="122">
        <v>5</v>
      </c>
      <c r="EE44" s="36" t="str">
        <f t="shared" si="249"/>
        <v/>
      </c>
      <c r="EF44" s="36">
        <f t="shared" si="250"/>
        <v>0</v>
      </c>
      <c r="EG44" s="36" t="str">
        <f>IF(SUM($BH$48:$BJ$48)=2,$BH$2,"")</f>
        <v/>
      </c>
      <c r="EH44" s="36" t="str">
        <f>IF(EE44="","",(INDEX(EG40:EG55,EE44-$CO$39)))</f>
        <v/>
      </c>
      <c r="EJ44" s="36">
        <f t="shared" si="251"/>
        <v>999</v>
      </c>
      <c r="EK44" s="36">
        <f>SMALL(EJ40:EJ55,ED44)</f>
        <v>999</v>
      </c>
      <c r="EL44" s="36" t="str">
        <f t="shared" si="356"/>
        <v/>
      </c>
      <c r="EM44" s="36">
        <f t="shared" si="252"/>
        <v>1</v>
      </c>
      <c r="EN44" s="36">
        <f t="shared" si="253"/>
        <v>0</v>
      </c>
      <c r="EQ44" s="36" t="str">
        <f t="shared" ref="EQ44:EQ55" si="359">IF(EL44="","",(IF($CV$39=0,EL44,EL43)))</f>
        <v/>
      </c>
      <c r="ER44" s="36">
        <f t="shared" si="254"/>
        <v>0</v>
      </c>
      <c r="ES44" s="36">
        <f t="shared" si="255"/>
        <v>0</v>
      </c>
      <c r="ET44" s="149" t="str">
        <f t="shared" si="256"/>
        <v/>
      </c>
      <c r="EV44" s="36" t="str">
        <f>D48</f>
        <v/>
      </c>
      <c r="EW44" s="36" t="str">
        <f>E48</f>
        <v/>
      </c>
      <c r="EX44" s="36" t="str">
        <f>H48</f>
        <v/>
      </c>
      <c r="EY44" s="36" t="str">
        <f>K48</f>
        <v/>
      </c>
      <c r="EZ44" s="36" t="str">
        <f t="shared" si="257"/>
        <v/>
      </c>
      <c r="FB44" s="36" t="str">
        <f t="shared" si="258"/>
        <v/>
      </c>
      <c r="FC44" s="36" t="str">
        <f t="shared" si="259"/>
        <v/>
      </c>
      <c r="FD44" s="36" t="str">
        <f t="shared" si="196"/>
        <v/>
      </c>
      <c r="FE44" s="36" t="str">
        <f t="shared" si="197"/>
        <v/>
      </c>
      <c r="FF44" s="36" t="str">
        <f t="shared" si="198"/>
        <v/>
      </c>
      <c r="FG44" s="36" t="str">
        <f t="shared" si="199"/>
        <v/>
      </c>
      <c r="FI44" s="36" t="str">
        <f t="shared" si="260"/>
        <v/>
      </c>
      <c r="FL44" s="36" t="str">
        <f t="shared" si="261"/>
        <v/>
      </c>
      <c r="FM44" s="36" t="str">
        <f t="shared" si="347"/>
        <v/>
      </c>
      <c r="FN44" s="36" t="str">
        <f t="shared" si="262"/>
        <v/>
      </c>
      <c r="FO44" s="36" t="str">
        <f t="shared" si="263"/>
        <v/>
      </c>
      <c r="FP44" s="36" t="str">
        <f>IF(FN44="","",(IF(FO44="",(IF(FN44=FO40,FN40,IF(FN44=FO41,FN41,IF(FN44=FO42,FN42,IF(FN44=FO43,FN43,IF(FN44=FO44,FN44,IF(FN44=FO45,FN45,IF(FN44=FO46,FN46,IF(FN44=FO47,FN47,""))))))))),FO44)))</f>
        <v/>
      </c>
      <c r="FQ44" s="36" t="str">
        <f>IF(FN44="","",(IF(FN44=FO48,FN48,IF(FN44=FO49,FN49,IF(FN44=FO50,FN50,IF(FN44=FO51,FN51,IF(FN44=FO52,FN52,IF(FN44=FO53,FN53,IF(FN44=FO54,FN54,IF(FN44=FO55,FN55,""))))))))))</f>
        <v/>
      </c>
      <c r="FR44" s="173" t="str">
        <f t="shared" si="264"/>
        <v/>
      </c>
      <c r="FT44" s="36">
        <f t="shared" si="348"/>
        <v>8</v>
      </c>
      <c r="FV44" s="36" t="str">
        <f t="shared" si="265"/>
        <v/>
      </c>
      <c r="FW44" s="36" t="str">
        <f>IF(FT44=FN48,FR48,IF(FT44=FN49,FR49,IF(FT44=FN50,FR50,IF(FT44=FN51,FR51,IF(FT44=FN52,FR52,IF(FT44=FN53,FR53,IF(FT44=FN54,FR54,IF(FT44=FN55,FR55,""))))))))</f>
        <v/>
      </c>
      <c r="FX44" s="36" t="str">
        <f t="shared" si="266"/>
        <v/>
      </c>
      <c r="FZ44" s="36" t="str">
        <f>FX42</f>
        <v/>
      </c>
      <c r="GA44" s="152"/>
      <c r="GB44" s="122">
        <v>5</v>
      </c>
      <c r="GC44" s="36" t="str">
        <f>IF(D48="","",D48)</f>
        <v/>
      </c>
      <c r="GD44" s="36" t="str">
        <f>IF(E48="","",E48)</f>
        <v/>
      </c>
      <c r="GE44" s="36" t="str">
        <f>IF(H48="","",H48)</f>
        <v/>
      </c>
      <c r="GF44" s="36" t="str">
        <f>IF(K48="","",K48)</f>
        <v/>
      </c>
      <c r="GG44" s="36" t="str">
        <f>IF(N48="","",N48)</f>
        <v/>
      </c>
      <c r="GH44" s="36" t="str">
        <f>IF(Q48="","",Q48)</f>
        <v/>
      </c>
      <c r="GI44" s="36" t="str">
        <f>IF(T48="","",T48)</f>
        <v/>
      </c>
      <c r="GJ44" s="36" t="str">
        <f>IF(W48="","",W48)</f>
        <v/>
      </c>
      <c r="GK44" s="36" t="str">
        <f>IF(C48="","",C48)</f>
        <v/>
      </c>
      <c r="GM44" s="36" t="str">
        <f>IF(F48="","",F48)</f>
        <v/>
      </c>
      <c r="GN44" s="36" t="str">
        <f>IF(I48="","",I48)</f>
        <v/>
      </c>
      <c r="GO44" s="36" t="str">
        <f>IF(L48="","",L48)</f>
        <v/>
      </c>
      <c r="GP44" s="36" t="str">
        <f>IF(O48="","",O48)</f>
        <v/>
      </c>
      <c r="GQ44" s="36" t="str">
        <f>IF(R48="","",R48)</f>
        <v/>
      </c>
      <c r="GR44" s="36" t="str">
        <f>IF(U48="","",U48)</f>
        <v/>
      </c>
      <c r="GS44" s="36" t="str">
        <f>IF(X48="","",X48)</f>
        <v/>
      </c>
      <c r="GU44" s="36" t="str">
        <f>IF(F49="","",F49)</f>
        <v/>
      </c>
      <c r="GV44" s="36" t="str">
        <f>IF(I49="","",I49)</f>
        <v/>
      </c>
      <c r="GW44" s="36" t="str">
        <f>IF(L49="","",L49)</f>
        <v/>
      </c>
      <c r="GX44" s="36" t="str">
        <f>IF(O49="","",O49)</f>
        <v/>
      </c>
      <c r="GY44" s="36" t="str">
        <f>IF(R49="","",R49)</f>
        <v/>
      </c>
      <c r="GZ44" s="36" t="str">
        <f>IF(U49="","",U49)</f>
        <v/>
      </c>
      <c r="HA44" s="153" t="str">
        <f>IF(X49="","",X49)</f>
        <v/>
      </c>
      <c r="HB44" s="183" t="str">
        <f>D48</f>
        <v/>
      </c>
      <c r="HC44" s="122">
        <v>5</v>
      </c>
      <c r="HD44" s="36" t="str">
        <f>IF(SUM($BH48:$BK48)&gt;=2,$BH$2,"")</f>
        <v/>
      </c>
      <c r="HE44" s="36" t="str">
        <f t="shared" si="267"/>
        <v/>
      </c>
      <c r="HF44" s="36" t="str">
        <f t="shared" si="200"/>
        <v/>
      </c>
      <c r="HG44" s="36" t="str">
        <f t="shared" si="201"/>
        <v/>
      </c>
      <c r="HH44" s="36" t="str">
        <f t="shared" si="202"/>
        <v/>
      </c>
      <c r="HI44" s="36" t="str">
        <f t="shared" si="203"/>
        <v/>
      </c>
      <c r="HK44" s="36" t="str">
        <f t="shared" ref="HK44:HK55" si="360">IF(HE44="","",(INDEX($HD$40:$HD$55,HE44-$HI$36)))</f>
        <v/>
      </c>
      <c r="HM44" s="36">
        <f t="shared" si="268"/>
        <v>999</v>
      </c>
      <c r="HN44" s="36">
        <f t="shared" si="269"/>
        <v>999</v>
      </c>
      <c r="HO44" s="36" t="str">
        <f t="shared" si="204"/>
        <v/>
      </c>
      <c r="HQ44" s="36">
        <f t="shared" si="270"/>
        <v>1</v>
      </c>
      <c r="HR44" s="36">
        <f t="shared" si="271"/>
        <v>0</v>
      </c>
      <c r="HS44" s="36" t="str">
        <f t="shared" si="349"/>
        <v/>
      </c>
      <c r="HT44" s="36">
        <f t="shared" si="272"/>
        <v>0</v>
      </c>
      <c r="HU44" s="36" t="str">
        <f t="shared" si="273"/>
        <v/>
      </c>
      <c r="HV44" s="138"/>
      <c r="HW44" s="36" t="str">
        <f t="shared" si="274"/>
        <v/>
      </c>
      <c r="HX44" s="36" t="str">
        <f t="shared" si="275"/>
        <v/>
      </c>
      <c r="HY44" s="36" t="str">
        <f t="shared" si="276"/>
        <v/>
      </c>
      <c r="HZ44" s="36" t="str">
        <f t="shared" si="277"/>
        <v/>
      </c>
      <c r="IA44" s="36" t="str">
        <f t="shared" si="278"/>
        <v/>
      </c>
      <c r="IC44" s="36" t="str">
        <f t="shared" si="350"/>
        <v/>
      </c>
      <c r="ID44" s="36" t="str">
        <f t="shared" si="279"/>
        <v/>
      </c>
      <c r="IE44" s="36" t="str">
        <f t="shared" si="280"/>
        <v/>
      </c>
      <c r="IF44" s="36" t="str">
        <f t="shared" si="281"/>
        <v/>
      </c>
      <c r="IG44" s="36" t="str">
        <f t="shared" si="357"/>
        <v/>
      </c>
      <c r="IH44" s="149" t="str">
        <f t="shared" si="282"/>
        <v/>
      </c>
      <c r="II44" s="138"/>
      <c r="IJ44" s="36" t="str">
        <f t="shared" si="283"/>
        <v/>
      </c>
      <c r="IL44" s="36" t="str">
        <f t="shared" si="284"/>
        <v/>
      </c>
      <c r="IM44" s="36" t="str">
        <f t="shared" si="285"/>
        <v/>
      </c>
      <c r="IN44" s="36" t="str">
        <f t="shared" si="286"/>
        <v/>
      </c>
      <c r="IO44" s="36" t="str">
        <f t="shared" si="287"/>
        <v/>
      </c>
      <c r="IP44" s="36" t="str">
        <f>IN42</f>
        <v/>
      </c>
      <c r="IQ44" s="183" t="str">
        <f>D48</f>
        <v/>
      </c>
      <c r="IR44" s="122">
        <v>5</v>
      </c>
      <c r="IS44" s="36" t="str">
        <f>IF(SUM($BH48:$BL48)&gt;1,$BH$2,"")</f>
        <v/>
      </c>
      <c r="IT44" s="36" t="str">
        <f t="shared" si="288"/>
        <v/>
      </c>
      <c r="IU44" s="36" t="str">
        <f t="shared" si="289"/>
        <v/>
      </c>
      <c r="IV44" s="36" t="str">
        <f t="shared" si="290"/>
        <v/>
      </c>
      <c r="IW44" s="36" t="str">
        <f t="shared" si="291"/>
        <v/>
      </c>
      <c r="IX44" s="36" t="str">
        <f t="shared" si="292"/>
        <v/>
      </c>
      <c r="IY44" s="36" t="str">
        <f t="shared" si="293"/>
        <v/>
      </c>
      <c r="IZ44" s="36" t="str">
        <f t="shared" si="294"/>
        <v/>
      </c>
      <c r="JB44" s="36">
        <f t="shared" si="295"/>
        <v>999</v>
      </c>
      <c r="JC44" s="36">
        <f t="shared" si="296"/>
        <v>999</v>
      </c>
      <c r="JD44" s="36" t="str">
        <f t="shared" si="205"/>
        <v/>
      </c>
      <c r="JF44" s="36">
        <f t="shared" si="297"/>
        <v>1</v>
      </c>
      <c r="JG44" s="36">
        <f t="shared" si="298"/>
        <v>0</v>
      </c>
      <c r="JH44" s="36" t="str">
        <f t="shared" si="299"/>
        <v/>
      </c>
      <c r="JI44" s="36">
        <f t="shared" si="300"/>
        <v>0</v>
      </c>
      <c r="JJ44" s="149" t="str">
        <f>IF((JG44*$JI$39)=1,$HS$6,"")</f>
        <v/>
      </c>
      <c r="JL44" s="36" t="str">
        <f t="shared" si="301"/>
        <v/>
      </c>
      <c r="JM44" s="36" t="str">
        <f t="shared" si="351"/>
        <v/>
      </c>
      <c r="JN44" s="36" t="str">
        <f t="shared" si="302"/>
        <v/>
      </c>
      <c r="JO44" s="36" t="str">
        <f t="shared" si="303"/>
        <v/>
      </c>
      <c r="JP44" s="36" t="str">
        <f t="shared" si="304"/>
        <v/>
      </c>
      <c r="JQ44" s="36" t="str">
        <f t="shared" si="305"/>
        <v/>
      </c>
      <c r="JS44" s="36" t="str">
        <f t="shared" si="306"/>
        <v/>
      </c>
      <c r="JT44" s="36" t="str">
        <f t="shared" si="307"/>
        <v/>
      </c>
      <c r="JU44" s="36" t="str">
        <f t="shared" si="308"/>
        <v/>
      </c>
      <c r="JV44" s="36" t="str">
        <f t="shared" si="309"/>
        <v/>
      </c>
      <c r="JW44" s="36" t="str">
        <f t="shared" si="310"/>
        <v/>
      </c>
      <c r="JX44" s="149" t="str">
        <f t="shared" si="311"/>
        <v/>
      </c>
      <c r="JY44" s="138"/>
      <c r="JZ44" s="36" t="str">
        <f t="shared" si="312"/>
        <v/>
      </c>
      <c r="KB44" s="36" t="str">
        <f>IF(JJ44="",IF(JL44="",IF(JZ44="","",JZ44),JL44),JJ44)</f>
        <v/>
      </c>
      <c r="KC44" s="36" t="str">
        <f t="shared" si="314"/>
        <v/>
      </c>
      <c r="KD44" s="36" t="str">
        <f t="shared" si="315"/>
        <v/>
      </c>
      <c r="KF44" s="36" t="str">
        <f>KD42</f>
        <v/>
      </c>
      <c r="KG44" s="183" t="str">
        <f>D48</f>
        <v/>
      </c>
      <c r="KH44" s="122">
        <v>5</v>
      </c>
      <c r="KI44" s="36" t="str">
        <f>IF(SUM($BH48:$BM48)&gt;1,$BH$2,"")</f>
        <v/>
      </c>
      <c r="KJ44" s="36" t="str">
        <f t="shared" si="316"/>
        <v/>
      </c>
      <c r="KK44" s="36" t="str">
        <f t="shared" si="317"/>
        <v/>
      </c>
      <c r="KL44" s="36" t="str">
        <f t="shared" si="318"/>
        <v/>
      </c>
      <c r="KM44" s="36" t="str">
        <f t="shared" si="319"/>
        <v/>
      </c>
      <c r="KN44" s="36" t="str">
        <f t="shared" si="320"/>
        <v/>
      </c>
      <c r="KO44" s="36" t="str">
        <f t="shared" si="321"/>
        <v/>
      </c>
      <c r="KP44" s="36" t="str">
        <f t="shared" si="322"/>
        <v/>
      </c>
      <c r="KQ44" s="36" t="str">
        <f t="shared" si="323"/>
        <v/>
      </c>
      <c r="KS44" s="36">
        <f t="shared" si="324"/>
        <v>999</v>
      </c>
      <c r="KT44" s="36">
        <f t="shared" si="325"/>
        <v>999</v>
      </c>
      <c r="KU44" s="36" t="str">
        <f t="shared" si="206"/>
        <v/>
      </c>
      <c r="KW44" s="36">
        <f t="shared" si="326"/>
        <v>1</v>
      </c>
      <c r="KX44" s="36">
        <f t="shared" si="327"/>
        <v>0</v>
      </c>
      <c r="KY44" s="36" t="str">
        <f t="shared" si="352"/>
        <v/>
      </c>
      <c r="KZ44" s="36">
        <f t="shared" si="328"/>
        <v>0</v>
      </c>
      <c r="LA44" s="149" t="str">
        <f t="shared" si="329"/>
        <v/>
      </c>
      <c r="LC44" s="36" t="str">
        <f t="shared" si="330"/>
        <v/>
      </c>
      <c r="LD44" s="36" t="str">
        <f t="shared" si="331"/>
        <v/>
      </c>
      <c r="LE44" s="36" t="str">
        <f t="shared" si="332"/>
        <v/>
      </c>
      <c r="LF44" s="36" t="str">
        <f t="shared" si="333"/>
        <v/>
      </c>
      <c r="LG44" s="36" t="str">
        <f t="shared" si="334"/>
        <v/>
      </c>
      <c r="LH44" s="36" t="str">
        <f t="shared" si="335"/>
        <v/>
      </c>
      <c r="LI44" s="36" t="str">
        <f t="shared" si="336"/>
        <v/>
      </c>
      <c r="LJ44" s="36" t="str">
        <f t="shared" si="337"/>
        <v/>
      </c>
      <c r="LK44" s="36" t="str">
        <f t="shared" si="207"/>
        <v/>
      </c>
      <c r="LL44" s="36" t="str">
        <f t="shared" si="338"/>
        <v/>
      </c>
      <c r="LM44" s="36" t="str">
        <f t="shared" si="339"/>
        <v/>
      </c>
      <c r="LN44" s="36" t="str">
        <f t="shared" si="340"/>
        <v/>
      </c>
      <c r="LO44" s="149" t="str">
        <f t="shared" si="341"/>
        <v/>
      </c>
      <c r="LP44" s="138"/>
      <c r="LQ44" s="36" t="str">
        <f t="shared" si="342"/>
        <v/>
      </c>
      <c r="LS44" s="36" t="str">
        <f t="shared" si="353"/>
        <v/>
      </c>
      <c r="LT44" s="36" t="str">
        <f t="shared" si="343"/>
        <v/>
      </c>
      <c r="LU44" s="36" t="str">
        <f t="shared" si="208"/>
        <v/>
      </c>
      <c r="LW44" s="153" t="str">
        <f>LU42</f>
        <v/>
      </c>
      <c r="LX44" s="152"/>
    </row>
    <row r="45" spans="1:336" ht="14.25" customHeight="1" thickBot="1" x14ac:dyDescent="0.3">
      <c r="A45" s="375"/>
      <c r="B45" s="374"/>
      <c r="C45" s="363"/>
      <c r="D45" s="362"/>
      <c r="E45" s="346"/>
      <c r="F45" s="29"/>
      <c r="G45" s="30"/>
      <c r="H45" s="346"/>
      <c r="I45" s="29">
        <v>12</v>
      </c>
      <c r="J45" s="30"/>
      <c r="K45" s="334"/>
      <c r="L45" s="29">
        <v>12</v>
      </c>
      <c r="M45" s="30"/>
      <c r="N45" s="334"/>
      <c r="O45" s="29"/>
      <c r="P45" s="30"/>
      <c r="Q45" s="334"/>
      <c r="R45" s="29"/>
      <c r="S45" s="30"/>
      <c r="T45" s="334"/>
      <c r="U45" s="29"/>
      <c r="V45" s="30"/>
      <c r="W45" s="337"/>
      <c r="X45" s="29"/>
      <c r="Y45" s="30"/>
      <c r="Z45" s="338"/>
      <c r="AA45" s="335"/>
      <c r="AB45" s="336"/>
      <c r="AC45" s="355"/>
      <c r="AD45" s="327"/>
      <c r="AE45" s="328"/>
      <c r="AG45" s="252">
        <v>6</v>
      </c>
      <c r="AH45" s="138" t="str">
        <f t="shared" si="209"/>
        <v/>
      </c>
      <c r="AI45" s="177"/>
      <c r="AJ45" s="36" t="str">
        <f t="shared" si="188"/>
        <v/>
      </c>
      <c r="AK45" s="149" t="str">
        <f t="shared" si="210"/>
        <v/>
      </c>
      <c r="AM45" s="138" t="str">
        <f t="shared" si="354"/>
        <v/>
      </c>
      <c r="AN45" s="177"/>
      <c r="AO45" s="36" t="str">
        <f t="shared" si="189"/>
        <v/>
      </c>
      <c r="AP45" s="149" t="str">
        <f t="shared" si="211"/>
        <v/>
      </c>
      <c r="AR45" s="138" t="str">
        <f t="shared" si="212"/>
        <v/>
      </c>
      <c r="AS45" s="177"/>
      <c r="AT45" s="36" t="str">
        <f t="shared" si="213"/>
        <v/>
      </c>
      <c r="AU45" s="149" t="str">
        <f t="shared" si="355"/>
        <v/>
      </c>
      <c r="AW45" s="138" t="str">
        <f t="shared" si="214"/>
        <v/>
      </c>
      <c r="AX45" s="177"/>
      <c r="AY45" s="36" t="str">
        <f t="shared" si="215"/>
        <v/>
      </c>
      <c r="AZ45" s="149" t="str">
        <f t="shared" si="190"/>
        <v/>
      </c>
      <c r="BB45" s="138" t="str">
        <f t="shared" si="358"/>
        <v/>
      </c>
      <c r="BC45" s="177"/>
      <c r="BD45" s="36" t="str">
        <f t="shared" si="216"/>
        <v/>
      </c>
      <c r="BE45" s="149" t="str">
        <f t="shared" si="217"/>
        <v/>
      </c>
      <c r="BH45" s="36" t="str">
        <f>IF(E45=$BQ$2,"",(IF(A45="","",(IF(F45="","",(IF(F45&lt;2,1,0)))))))</f>
        <v/>
      </c>
      <c r="BI45" s="36" t="str">
        <f>IF(H45=$BQ$2,"",(IF(A45="","",(IF(I45="","",(IF(I45&lt;2,1,0)))))))</f>
        <v/>
      </c>
      <c r="BJ45" s="36" t="str">
        <f>IF(K45=$BQ$2,"",(IF(A45="","",(IF(L45="","",(IF(L45&lt;2,1,0)))))))</f>
        <v/>
      </c>
      <c r="BK45" s="36" t="str">
        <f>IF(W45=$BQ$2,"",(IF(A45="","",(IF(X45="","",(IF(X45&lt;2,1,0)))))))</f>
        <v/>
      </c>
      <c r="BP45" s="36" t="str">
        <f>IF(BH45="","",(SUM(BH45:BK45)))</f>
        <v/>
      </c>
      <c r="BR45" s="36" t="str">
        <f>BP50</f>
        <v/>
      </c>
      <c r="BS45" s="36" t="str">
        <f>D50</f>
        <v/>
      </c>
      <c r="BT45" s="122" t="str">
        <f>IF(SUM(BH50,BI50)=2,$BH$2,"")</f>
        <v/>
      </c>
      <c r="BV45" s="36">
        <f t="shared" si="191"/>
        <v>999</v>
      </c>
      <c r="BW45" s="36">
        <f t="shared" si="192"/>
        <v>999</v>
      </c>
      <c r="BX45" s="36">
        <f t="shared" si="344"/>
        <v>6</v>
      </c>
      <c r="BY45" s="36">
        <f t="shared" si="218"/>
        <v>999</v>
      </c>
      <c r="CB45" s="122">
        <v>6</v>
      </c>
      <c r="CC45" s="36">
        <f>IF((D50)="",0,D50)</f>
        <v>0</v>
      </c>
      <c r="CD45" s="36">
        <f t="shared" si="219"/>
        <v>0</v>
      </c>
      <c r="CE45" s="36">
        <f t="shared" si="220"/>
        <v>0</v>
      </c>
      <c r="CH45" s="36">
        <f t="shared" si="345"/>
        <v>0</v>
      </c>
      <c r="CI45" s="36">
        <f t="shared" si="221"/>
        <v>0</v>
      </c>
      <c r="CJ45" s="36">
        <f t="shared" si="222"/>
        <v>0</v>
      </c>
      <c r="CM45" s="36">
        <f t="shared" si="346"/>
        <v>0</v>
      </c>
      <c r="CO45" s="36">
        <f t="shared" si="223"/>
        <v>0</v>
      </c>
      <c r="CP45" s="36" t="str">
        <f t="shared" si="224"/>
        <v/>
      </c>
      <c r="CQ45" s="36">
        <f t="shared" si="225"/>
        <v>999</v>
      </c>
      <c r="CR45" s="36">
        <f t="shared" si="226"/>
        <v>6</v>
      </c>
      <c r="CS45" s="36">
        <f t="shared" si="227"/>
        <v>7</v>
      </c>
      <c r="CT45" s="36">
        <f t="shared" si="193"/>
        <v>999</v>
      </c>
      <c r="CU45" s="36" t="str">
        <f t="shared" si="228"/>
        <v/>
      </c>
      <c r="CV45" s="36">
        <f t="shared" si="229"/>
        <v>0</v>
      </c>
      <c r="CW45" s="36">
        <f t="shared" si="230"/>
        <v>0</v>
      </c>
      <c r="CX45" s="149" t="str">
        <f t="shared" si="231"/>
        <v/>
      </c>
      <c r="DA45" s="36" t="str">
        <f>D50</f>
        <v/>
      </c>
      <c r="DB45" s="36" t="str">
        <f>E50</f>
        <v/>
      </c>
      <c r="DC45" s="36" t="str">
        <f>H50</f>
        <v/>
      </c>
      <c r="DD45" s="36" t="str">
        <f t="shared" si="232"/>
        <v/>
      </c>
      <c r="DF45" s="36" t="str">
        <f t="shared" si="233"/>
        <v/>
      </c>
      <c r="DG45" s="36" t="str">
        <f t="shared" si="234"/>
        <v/>
      </c>
      <c r="DH45" s="36" t="str">
        <f t="shared" si="235"/>
        <v/>
      </c>
      <c r="DI45" s="36" t="str">
        <f t="shared" si="194"/>
        <v/>
      </c>
      <c r="DJ45" s="36" t="str">
        <f t="shared" si="236"/>
        <v/>
      </c>
      <c r="DL45" s="36" t="str">
        <f t="shared" si="195"/>
        <v/>
      </c>
      <c r="DM45" s="149" t="str">
        <f t="shared" si="237"/>
        <v/>
      </c>
      <c r="DN45" s="36" t="str">
        <f t="shared" si="238"/>
        <v/>
      </c>
      <c r="DO45" s="36" t="str">
        <f t="shared" si="239"/>
        <v/>
      </c>
      <c r="DP45" s="36" t="str">
        <f t="shared" si="240"/>
        <v/>
      </c>
      <c r="DR45" s="36" t="str">
        <f t="shared" si="241"/>
        <v/>
      </c>
      <c r="DS45" s="36" t="str">
        <f t="shared" si="242"/>
        <v/>
      </c>
      <c r="DT45" s="36" t="str">
        <f t="shared" si="243"/>
        <v/>
      </c>
      <c r="DX45" s="152" t="str">
        <f t="shared" si="244"/>
        <v/>
      </c>
      <c r="DY45" s="36" t="str">
        <f t="shared" si="245"/>
        <v/>
      </c>
      <c r="DZ45" s="36" t="str">
        <f t="shared" si="246"/>
        <v/>
      </c>
      <c r="EA45" s="36" t="str">
        <f t="shared" si="247"/>
        <v/>
      </c>
      <c r="EB45" s="173" t="str">
        <f t="shared" si="248"/>
        <v/>
      </c>
      <c r="EC45" s="36" t="str">
        <f>D50</f>
        <v/>
      </c>
      <c r="ED45" s="122">
        <v>6</v>
      </c>
      <c r="EE45" s="36" t="str">
        <f t="shared" si="249"/>
        <v/>
      </c>
      <c r="EF45" s="36">
        <f t="shared" si="250"/>
        <v>0</v>
      </c>
      <c r="EG45" s="36" t="str">
        <f>IF(SUM($BH$50:$BJ$50)=2,$BH$2,"")</f>
        <v/>
      </c>
      <c r="EH45" s="36" t="str">
        <f>IF(EE45="","",(INDEX(EG40:EG55,EE45-$CO$39)))</f>
        <v/>
      </c>
      <c r="EJ45" s="36">
        <f t="shared" si="251"/>
        <v>999</v>
      </c>
      <c r="EK45" s="36">
        <f>SMALL(EJ40:EJ55,ED45)</f>
        <v>999</v>
      </c>
      <c r="EL45" s="36" t="str">
        <f t="shared" si="356"/>
        <v/>
      </c>
      <c r="EM45" s="36">
        <f t="shared" si="252"/>
        <v>1</v>
      </c>
      <c r="EN45" s="36">
        <f t="shared" si="253"/>
        <v>0</v>
      </c>
      <c r="EQ45" s="36" t="str">
        <f t="shared" si="359"/>
        <v/>
      </c>
      <c r="ER45" s="36">
        <f t="shared" si="254"/>
        <v>0</v>
      </c>
      <c r="ES45" s="36">
        <f t="shared" si="255"/>
        <v>0</v>
      </c>
      <c r="ET45" s="149" t="str">
        <f t="shared" si="256"/>
        <v/>
      </c>
      <c r="EV45" s="36" t="str">
        <f>D50</f>
        <v/>
      </c>
      <c r="EW45" s="36" t="str">
        <f>E50</f>
        <v/>
      </c>
      <c r="EX45" s="36" t="str">
        <f>H50</f>
        <v/>
      </c>
      <c r="EY45" s="36" t="str">
        <f>K50</f>
        <v/>
      </c>
      <c r="EZ45" s="36" t="str">
        <f t="shared" si="257"/>
        <v/>
      </c>
      <c r="FB45" s="36" t="str">
        <f t="shared" si="258"/>
        <v/>
      </c>
      <c r="FC45" s="36" t="str">
        <f t="shared" si="259"/>
        <v/>
      </c>
      <c r="FD45" s="36" t="str">
        <f t="shared" si="196"/>
        <v/>
      </c>
      <c r="FE45" s="36" t="str">
        <f t="shared" si="197"/>
        <v/>
      </c>
      <c r="FF45" s="36" t="str">
        <f t="shared" si="198"/>
        <v/>
      </c>
      <c r="FG45" s="36" t="str">
        <f t="shared" si="199"/>
        <v/>
      </c>
      <c r="FI45" s="36" t="str">
        <f t="shared" si="260"/>
        <v/>
      </c>
      <c r="FL45" s="36" t="str">
        <f t="shared" si="261"/>
        <v/>
      </c>
      <c r="FM45" s="36" t="str">
        <f t="shared" si="347"/>
        <v/>
      </c>
      <c r="FN45" s="36" t="str">
        <f t="shared" si="262"/>
        <v/>
      </c>
      <c r="FO45" s="36" t="str">
        <f t="shared" si="263"/>
        <v/>
      </c>
      <c r="FP45" s="36" t="str">
        <f>IF(FN45="","",(IF(FO45="",(IF(FN45=FO40,FN40,IF(FN45=FO41,FN41,IF(FN45=FO42,FN42,IF(FN45=FO43,FN43,IF(FN45=FO44,FN44,IF(FN45=FO45,FN45,IF(FN45=FO46,FN46,IF(FN45=FO47,FN47,""))))))))),FO45)))</f>
        <v/>
      </c>
      <c r="FQ45" s="36" t="str">
        <f>IF(FN45="","",(IF(FN45=FO48,FN48,IF(FN45=FO49,FN49,IF(FN45=FO50,FN50,IF(FN45=FO51,FN51,IF(FN45=FO52,FN52,IF(FN45=FO53,FN53,IF(FN45=FO54,FN54,IF(FN45=FO55,FN55,""))))))))))</f>
        <v/>
      </c>
      <c r="FR45" s="173" t="str">
        <f t="shared" si="264"/>
        <v/>
      </c>
      <c r="FT45" s="36">
        <f t="shared" si="348"/>
        <v>9</v>
      </c>
      <c r="FV45" s="36" t="str">
        <f t="shared" si="265"/>
        <v/>
      </c>
      <c r="FW45" s="36" t="str">
        <f>IF(FT45=FN48,FR48,IF(FT45=FN49,FR49,IF(FT45=FN50,FR50,IF(FT45=FN51,FR51,IF(FT45=FN52,FR52,IF(FT45=FN53,FR53,IF(FT45=FN54,FR54,IF(FT45=FN55,FR55,""))))))))</f>
        <v/>
      </c>
      <c r="FX45" s="36" t="str">
        <f t="shared" si="266"/>
        <v/>
      </c>
      <c r="GA45" s="152"/>
      <c r="GB45" s="122">
        <v>6</v>
      </c>
      <c r="GC45" s="36" t="str">
        <f>IF(D50="","",D50)</f>
        <v/>
      </c>
      <c r="GD45" s="36" t="str">
        <f>IF(E50="","",E50)</f>
        <v/>
      </c>
      <c r="GE45" s="36" t="str">
        <f>IF(H50="","",H50)</f>
        <v/>
      </c>
      <c r="GF45" s="36" t="str">
        <f>IF(K50="","",K50)</f>
        <v/>
      </c>
      <c r="GG45" s="36" t="str">
        <f>IF(N50="","",N50)</f>
        <v/>
      </c>
      <c r="GH45" s="36" t="str">
        <f>IF(Q50="","",Q50)</f>
        <v/>
      </c>
      <c r="GI45" s="36" t="str">
        <f>IF(T50="","",T50)</f>
        <v/>
      </c>
      <c r="GJ45" s="36" t="str">
        <f>IF(W50="","",W50)</f>
        <v/>
      </c>
      <c r="GK45" s="36" t="str">
        <f>IF(C50="","",C50)</f>
        <v/>
      </c>
      <c r="GM45" s="36" t="str">
        <f>IF(F50="","",F50)</f>
        <v/>
      </c>
      <c r="GN45" s="36" t="str">
        <f>IF(I50="","",I50)</f>
        <v/>
      </c>
      <c r="GO45" s="36" t="str">
        <f>IF(L50="","",L50)</f>
        <v/>
      </c>
      <c r="GP45" s="36" t="str">
        <f>IF(O50="","",O50)</f>
        <v/>
      </c>
      <c r="GQ45" s="36" t="str">
        <f>IF(R50="","",R50)</f>
        <v/>
      </c>
      <c r="GR45" s="36" t="str">
        <f>IF(U50="","",U50)</f>
        <v/>
      </c>
      <c r="GS45" s="36" t="str">
        <f>IF(X50="","",X50)</f>
        <v/>
      </c>
      <c r="GU45" s="36" t="str">
        <f>IF(F51="","",F51)</f>
        <v/>
      </c>
      <c r="GV45" s="36" t="str">
        <f>IF(I51="","",I51)</f>
        <v/>
      </c>
      <c r="GW45" s="36" t="str">
        <f>IF(L51="","",L51)</f>
        <v/>
      </c>
      <c r="GX45" s="36" t="str">
        <f>IF(O51="","",O51)</f>
        <v/>
      </c>
      <c r="GY45" s="36" t="str">
        <f>IF(R51="","",R51)</f>
        <v/>
      </c>
      <c r="GZ45" s="36" t="str">
        <f>IF(U51="","",U51)</f>
        <v/>
      </c>
      <c r="HA45" s="153" t="str">
        <f>IF(X51="","",X51)</f>
        <v/>
      </c>
      <c r="HB45" s="183" t="str">
        <f>D50</f>
        <v/>
      </c>
      <c r="HC45" s="122">
        <v>6</v>
      </c>
      <c r="HD45" s="36" t="str">
        <f>IF(SUM($BH50:$BK50)&gt;=2,$BH$2,"")</f>
        <v/>
      </c>
      <c r="HE45" s="36" t="str">
        <f t="shared" si="267"/>
        <v/>
      </c>
      <c r="HF45" s="36" t="str">
        <f t="shared" si="200"/>
        <v/>
      </c>
      <c r="HG45" s="36" t="str">
        <f t="shared" si="201"/>
        <v/>
      </c>
      <c r="HH45" s="36" t="str">
        <f t="shared" si="202"/>
        <v/>
      </c>
      <c r="HI45" s="36" t="str">
        <f t="shared" si="203"/>
        <v/>
      </c>
      <c r="HK45" s="36" t="str">
        <f t="shared" si="360"/>
        <v/>
      </c>
      <c r="HM45" s="36">
        <f t="shared" si="268"/>
        <v>999</v>
      </c>
      <c r="HN45" s="36">
        <f t="shared" si="269"/>
        <v>999</v>
      </c>
      <c r="HO45" s="36" t="str">
        <f t="shared" si="204"/>
        <v/>
      </c>
      <c r="HQ45" s="36">
        <f t="shared" si="270"/>
        <v>1</v>
      </c>
      <c r="HR45" s="36">
        <f t="shared" si="271"/>
        <v>0</v>
      </c>
      <c r="HS45" s="36" t="str">
        <f t="shared" si="349"/>
        <v/>
      </c>
      <c r="HT45" s="36">
        <f t="shared" si="272"/>
        <v>0</v>
      </c>
      <c r="HU45" s="36" t="str">
        <f t="shared" si="273"/>
        <v/>
      </c>
      <c r="HV45" s="138"/>
      <c r="HW45" s="36" t="str">
        <f t="shared" si="274"/>
        <v/>
      </c>
      <c r="HX45" s="36" t="str">
        <f t="shared" si="275"/>
        <v/>
      </c>
      <c r="HY45" s="36" t="str">
        <f t="shared" si="276"/>
        <v/>
      </c>
      <c r="HZ45" s="36" t="str">
        <f t="shared" si="277"/>
        <v/>
      </c>
      <c r="IA45" s="36" t="str">
        <f t="shared" si="278"/>
        <v/>
      </c>
      <c r="IC45" s="36" t="str">
        <f t="shared" si="350"/>
        <v/>
      </c>
      <c r="ID45" s="36" t="str">
        <f t="shared" si="279"/>
        <v/>
      </c>
      <c r="IE45" s="36" t="str">
        <f t="shared" si="280"/>
        <v/>
      </c>
      <c r="IF45" s="36" t="str">
        <f t="shared" si="281"/>
        <v/>
      </c>
      <c r="IG45" s="36" t="str">
        <f t="shared" si="357"/>
        <v/>
      </c>
      <c r="IH45" s="149" t="str">
        <f t="shared" si="282"/>
        <v/>
      </c>
      <c r="II45" s="138"/>
      <c r="IJ45" s="36" t="str">
        <f t="shared" si="283"/>
        <v/>
      </c>
      <c r="IL45" s="36" t="str">
        <f t="shared" si="284"/>
        <v/>
      </c>
      <c r="IM45" s="36" t="str">
        <f t="shared" si="285"/>
        <v/>
      </c>
      <c r="IN45" s="36" t="str">
        <f t="shared" si="286"/>
        <v/>
      </c>
      <c r="IO45" s="36" t="str">
        <f t="shared" si="287"/>
        <v/>
      </c>
      <c r="IQ45" s="183" t="str">
        <f>D50</f>
        <v/>
      </c>
      <c r="IR45" s="122">
        <v>6</v>
      </c>
      <c r="IS45" s="36" t="str">
        <f>IF(SUM($BH50:$BL50)&gt;1,$BH$2,"")</f>
        <v/>
      </c>
      <c r="IT45" s="36" t="str">
        <f t="shared" si="288"/>
        <v/>
      </c>
      <c r="IU45" s="36" t="str">
        <f t="shared" si="289"/>
        <v/>
      </c>
      <c r="IV45" s="36" t="str">
        <f t="shared" si="290"/>
        <v/>
      </c>
      <c r="IW45" s="36" t="str">
        <f t="shared" si="291"/>
        <v/>
      </c>
      <c r="IX45" s="36" t="str">
        <f t="shared" si="292"/>
        <v/>
      </c>
      <c r="IY45" s="36" t="str">
        <f t="shared" si="293"/>
        <v/>
      </c>
      <c r="IZ45" s="36" t="str">
        <f t="shared" si="294"/>
        <v/>
      </c>
      <c r="JB45" s="36">
        <f t="shared" si="295"/>
        <v>999</v>
      </c>
      <c r="JC45" s="36">
        <f t="shared" si="296"/>
        <v>999</v>
      </c>
      <c r="JD45" s="36" t="str">
        <f t="shared" si="205"/>
        <v/>
      </c>
      <c r="JF45" s="36">
        <f t="shared" si="297"/>
        <v>1</v>
      </c>
      <c r="JG45" s="36">
        <f t="shared" si="298"/>
        <v>0</v>
      </c>
      <c r="JH45" s="36" t="str">
        <f t="shared" si="299"/>
        <v/>
      </c>
      <c r="JI45" s="36">
        <f t="shared" si="300"/>
        <v>0</v>
      </c>
      <c r="JJ45" s="149" t="str">
        <f t="shared" ref="JJ45:JJ55" si="361">IF((JG45*$JI$6)=1,$HS$6,"")</f>
        <v/>
      </c>
      <c r="JL45" s="36" t="str">
        <f t="shared" si="301"/>
        <v/>
      </c>
      <c r="JM45" s="36" t="str">
        <f t="shared" si="351"/>
        <v/>
      </c>
      <c r="JN45" s="36" t="str">
        <f t="shared" si="302"/>
        <v/>
      </c>
      <c r="JO45" s="36" t="str">
        <f t="shared" si="303"/>
        <v/>
      </c>
      <c r="JP45" s="36" t="str">
        <f t="shared" si="304"/>
        <v/>
      </c>
      <c r="JQ45" s="36" t="str">
        <f t="shared" si="305"/>
        <v/>
      </c>
      <c r="JS45" s="36" t="str">
        <f t="shared" si="306"/>
        <v/>
      </c>
      <c r="JT45" s="36" t="str">
        <f t="shared" si="307"/>
        <v/>
      </c>
      <c r="JU45" s="36" t="str">
        <f t="shared" si="308"/>
        <v/>
      </c>
      <c r="JV45" s="36" t="str">
        <f t="shared" si="309"/>
        <v/>
      </c>
      <c r="JW45" s="36" t="str">
        <f t="shared" si="310"/>
        <v/>
      </c>
      <c r="JX45" s="149" t="str">
        <f t="shared" si="311"/>
        <v/>
      </c>
      <c r="JY45" s="138"/>
      <c r="JZ45" s="36" t="str">
        <f t="shared" si="312"/>
        <v/>
      </c>
      <c r="KB45" s="36" t="str">
        <f t="shared" si="313"/>
        <v/>
      </c>
      <c r="KC45" s="36" t="str">
        <f t="shared" si="314"/>
        <v/>
      </c>
      <c r="KD45" s="36" t="str">
        <f t="shared" si="315"/>
        <v/>
      </c>
      <c r="KG45" s="183" t="str">
        <f>D50</f>
        <v/>
      </c>
      <c r="KH45" s="122">
        <v>6</v>
      </c>
      <c r="KI45" s="36" t="str">
        <f>IF(SUM($BH50:$BM50)&gt;1,$BH$2,"")</f>
        <v/>
      </c>
      <c r="KJ45" s="36" t="str">
        <f t="shared" si="316"/>
        <v/>
      </c>
      <c r="KK45" s="36" t="str">
        <f t="shared" si="317"/>
        <v/>
      </c>
      <c r="KL45" s="36" t="str">
        <f t="shared" si="318"/>
        <v/>
      </c>
      <c r="KM45" s="36" t="str">
        <f t="shared" si="319"/>
        <v/>
      </c>
      <c r="KN45" s="36" t="str">
        <f t="shared" si="320"/>
        <v/>
      </c>
      <c r="KO45" s="36" t="str">
        <f t="shared" si="321"/>
        <v/>
      </c>
      <c r="KP45" s="36" t="str">
        <f t="shared" si="322"/>
        <v/>
      </c>
      <c r="KQ45" s="36" t="str">
        <f t="shared" si="323"/>
        <v/>
      </c>
      <c r="KS45" s="36">
        <f t="shared" si="324"/>
        <v>999</v>
      </c>
      <c r="KT45" s="36">
        <f t="shared" si="325"/>
        <v>999</v>
      </c>
      <c r="KU45" s="36" t="str">
        <f t="shared" si="206"/>
        <v/>
      </c>
      <c r="KW45" s="36">
        <f t="shared" si="326"/>
        <v>1</v>
      </c>
      <c r="KX45" s="36">
        <f t="shared" si="327"/>
        <v>0</v>
      </c>
      <c r="KY45" s="36" t="str">
        <f t="shared" si="352"/>
        <v/>
      </c>
      <c r="KZ45" s="36">
        <f t="shared" si="328"/>
        <v>0</v>
      </c>
      <c r="LA45" s="149" t="str">
        <f t="shared" si="329"/>
        <v/>
      </c>
      <c r="LC45" s="36" t="str">
        <f t="shared" si="330"/>
        <v/>
      </c>
      <c r="LD45" s="36" t="str">
        <f t="shared" si="331"/>
        <v/>
      </c>
      <c r="LE45" s="36" t="str">
        <f t="shared" si="332"/>
        <v/>
      </c>
      <c r="LF45" s="36" t="str">
        <f t="shared" si="333"/>
        <v/>
      </c>
      <c r="LG45" s="36" t="str">
        <f t="shared" si="334"/>
        <v/>
      </c>
      <c r="LH45" s="36" t="str">
        <f t="shared" si="335"/>
        <v/>
      </c>
      <c r="LI45" s="36" t="str">
        <f t="shared" si="336"/>
        <v/>
      </c>
      <c r="LJ45" s="36" t="str">
        <f t="shared" si="337"/>
        <v/>
      </c>
      <c r="LK45" s="36" t="str">
        <f t="shared" si="207"/>
        <v/>
      </c>
      <c r="LL45" s="36" t="str">
        <f t="shared" si="338"/>
        <v/>
      </c>
      <c r="LM45" s="36" t="str">
        <f t="shared" si="339"/>
        <v/>
      </c>
      <c r="LN45" s="36" t="str">
        <f t="shared" si="340"/>
        <v/>
      </c>
      <c r="LO45" s="149" t="str">
        <f t="shared" si="341"/>
        <v/>
      </c>
      <c r="LP45" s="138"/>
      <c r="LQ45" s="36" t="str">
        <f t="shared" si="342"/>
        <v/>
      </c>
      <c r="LS45" s="36" t="str">
        <f t="shared" si="353"/>
        <v/>
      </c>
      <c r="LT45" s="36" t="str">
        <f t="shared" si="343"/>
        <v/>
      </c>
      <c r="LU45" s="36" t="str">
        <f t="shared" si="208"/>
        <v/>
      </c>
      <c r="LW45" s="153"/>
      <c r="LX45" s="152"/>
    </row>
    <row r="46" spans="1:336" ht="14.25" customHeight="1" thickBot="1" x14ac:dyDescent="0.3">
      <c r="A46" s="375" t="str">
        <f>'Vážní listina'!HQ45</f>
        <v/>
      </c>
      <c r="B46" s="374" t="str">
        <f>'Vážní listina'!HR45</f>
        <v/>
      </c>
      <c r="C46" s="363" t="str">
        <f>IF(BP46="","",(IF(BP46&gt;1,$BH$2,"")))</f>
        <v/>
      </c>
      <c r="D46" s="361" t="str">
        <f>'Vážní listina'!HK45</f>
        <v/>
      </c>
      <c r="E46" s="343" t="str">
        <f>'Vážní listina'!HL45</f>
        <v/>
      </c>
      <c r="F46" s="26"/>
      <c r="G46" s="32"/>
      <c r="H46" s="334" t="str">
        <f>IF(H5="","",'Vážní listina'!HM45)</f>
        <v/>
      </c>
      <c r="I46" s="26"/>
      <c r="J46" s="32"/>
      <c r="K46" s="334" t="str">
        <f>IF(K5="","",DV46)</f>
        <v/>
      </c>
      <c r="L46" s="26"/>
      <c r="M46" s="32"/>
      <c r="N46" s="334" t="str">
        <f>IF(N5="","",FZ46)</f>
        <v/>
      </c>
      <c r="O46" s="26"/>
      <c r="P46" s="32"/>
      <c r="Q46" s="334" t="str">
        <f>IF(Q5="","",IP46)</f>
        <v/>
      </c>
      <c r="R46" s="26"/>
      <c r="S46" s="32"/>
      <c r="T46" s="334" t="str">
        <f>IF(T5="","",KF46)</f>
        <v/>
      </c>
      <c r="U46" s="26"/>
      <c r="V46" s="32"/>
      <c r="W46" s="337" t="str">
        <f>IF(W5="","",LW46)</f>
        <v/>
      </c>
      <c r="X46" s="26"/>
      <c r="Y46" s="32"/>
      <c r="Z46" s="338" t="str">
        <f>IF(A46="","",(F46+I46+L46+O46+R46+U46+X46))</f>
        <v/>
      </c>
      <c r="AA46" s="335" t="str">
        <f>IF(A46="","",(F47+I47+L47+O47+R47+U47+X47))</f>
        <v/>
      </c>
      <c r="AB46" s="336" t="str">
        <f>IF(A46="","",(G46+J46+M46+P46+S46+V46+Y46))</f>
        <v/>
      </c>
      <c r="AC46" s="355" t="str">
        <f>HF118</f>
        <v/>
      </c>
      <c r="AD46" s="328"/>
      <c r="AE46" s="328" t="str">
        <f>IF(D46="","",(IF('Tabulka finále'!$BK$47=1,(IF('Tabulka finále'!$K$56="","",(IF($AC$5="","",(IF($H$5="","",(FW156))))))),"")))</f>
        <v/>
      </c>
      <c r="AG46" s="252">
        <v>7</v>
      </c>
      <c r="AH46" s="138" t="str">
        <f t="shared" si="209"/>
        <v/>
      </c>
      <c r="AI46" s="177"/>
      <c r="AJ46" s="36" t="str">
        <f t="shared" si="188"/>
        <v/>
      </c>
      <c r="AK46" s="149" t="str">
        <f t="shared" si="210"/>
        <v/>
      </c>
      <c r="AM46" s="138" t="str">
        <f t="shared" si="354"/>
        <v/>
      </c>
      <c r="AN46" s="177"/>
      <c r="AO46" s="36" t="str">
        <f t="shared" si="189"/>
        <v/>
      </c>
      <c r="AP46" s="149" t="str">
        <f t="shared" si="211"/>
        <v/>
      </c>
      <c r="AR46" s="138" t="str">
        <f t="shared" si="212"/>
        <v/>
      </c>
      <c r="AS46" s="177"/>
      <c r="AT46" s="36" t="str">
        <f t="shared" si="213"/>
        <v/>
      </c>
      <c r="AU46" s="149" t="str">
        <f t="shared" si="355"/>
        <v/>
      </c>
      <c r="AW46" s="138" t="str">
        <f t="shared" si="214"/>
        <v/>
      </c>
      <c r="AX46" s="177"/>
      <c r="AY46" s="36" t="str">
        <f t="shared" si="215"/>
        <v/>
      </c>
      <c r="AZ46" s="149" t="str">
        <f t="shared" si="190"/>
        <v/>
      </c>
      <c r="BB46" s="138" t="str">
        <f t="shared" si="358"/>
        <v/>
      </c>
      <c r="BC46" s="177"/>
      <c r="BD46" s="36" t="str">
        <f t="shared" si="216"/>
        <v/>
      </c>
      <c r="BE46" s="149" t="str">
        <f t="shared" si="217"/>
        <v/>
      </c>
      <c r="BG46" s="36">
        <f>IF(A46="",0,1)</f>
        <v>0</v>
      </c>
      <c r="BH46" s="36" t="str">
        <f>(IF(F46="","",(IF(F46&lt;2,1,0))))</f>
        <v/>
      </c>
      <c r="BI46" s="36" t="str">
        <f>(IF(I46="","",(IF(I46&lt;2,1,0))))</f>
        <v/>
      </c>
      <c r="BJ46" s="36" t="str">
        <f>(IF(L46="","",(IF(L46&lt;2,1,0))))</f>
        <v/>
      </c>
      <c r="BK46" s="36" t="str">
        <f>(IF(O46="","",(IF(O46&lt;2,1,0))))</f>
        <v/>
      </c>
      <c r="BL46" s="36" t="str">
        <f>IF(R46="","",(IF(R46&lt;2,1,0)))</f>
        <v/>
      </c>
      <c r="BM46" s="36" t="str">
        <f>IF(U46="","",(IF(U46&lt;2,1,0)))</f>
        <v/>
      </c>
      <c r="BN46" s="36" t="str">
        <f>IF(X46="","",(IF(X46&lt;2,1,0)))</f>
        <v/>
      </c>
      <c r="BP46" s="36" t="str">
        <f>IF(BG46=0,"",(SUM(BH46:BN46)))</f>
        <v/>
      </c>
      <c r="BR46" s="36" t="str">
        <f>BP52</f>
        <v/>
      </c>
      <c r="BS46" s="36" t="str">
        <f>D52</f>
        <v/>
      </c>
      <c r="BT46" s="122" t="str">
        <f>IF(SUM(BH52,BI52)=2,$BH$2,"")</f>
        <v/>
      </c>
      <c r="BV46" s="36">
        <f t="shared" si="191"/>
        <v>999</v>
      </c>
      <c r="BW46" s="36">
        <f t="shared" si="192"/>
        <v>999</v>
      </c>
      <c r="BX46" s="36">
        <f t="shared" si="344"/>
        <v>7</v>
      </c>
      <c r="BY46" s="36">
        <f t="shared" si="218"/>
        <v>999</v>
      </c>
      <c r="CB46" s="122">
        <v>7</v>
      </c>
      <c r="CC46" s="36">
        <f>IF((D52)="",0,D52)</f>
        <v>0</v>
      </c>
      <c r="CD46" s="36">
        <f t="shared" si="219"/>
        <v>0</v>
      </c>
      <c r="CE46" s="36">
        <f t="shared" si="220"/>
        <v>0</v>
      </c>
      <c r="CH46" s="36">
        <f t="shared" si="345"/>
        <v>0</v>
      </c>
      <c r="CI46" s="36">
        <f t="shared" si="221"/>
        <v>0</v>
      </c>
      <c r="CJ46" s="36">
        <f t="shared" si="222"/>
        <v>0</v>
      </c>
      <c r="CM46" s="36">
        <f t="shared" si="346"/>
        <v>0</v>
      </c>
      <c r="CO46" s="36">
        <f t="shared" si="223"/>
        <v>0</v>
      </c>
      <c r="CP46" s="36" t="str">
        <f t="shared" si="224"/>
        <v/>
      </c>
      <c r="CQ46" s="36">
        <f t="shared" si="225"/>
        <v>999</v>
      </c>
      <c r="CR46" s="36">
        <f t="shared" si="226"/>
        <v>7</v>
      </c>
      <c r="CS46" s="36">
        <f t="shared" si="227"/>
        <v>8</v>
      </c>
      <c r="CT46" s="36">
        <f t="shared" si="193"/>
        <v>999</v>
      </c>
      <c r="CU46" s="36" t="str">
        <f t="shared" si="228"/>
        <v/>
      </c>
      <c r="CV46" s="36">
        <f t="shared" si="229"/>
        <v>0</v>
      </c>
      <c r="CW46" s="36">
        <f t="shared" si="230"/>
        <v>0</v>
      </c>
      <c r="CX46" s="149" t="str">
        <f t="shared" si="231"/>
        <v/>
      </c>
      <c r="DA46" s="36" t="str">
        <f>D52</f>
        <v/>
      </c>
      <c r="DB46" s="36" t="str">
        <f>E52</f>
        <v/>
      </c>
      <c r="DC46" s="36" t="str">
        <f>H52</f>
        <v/>
      </c>
      <c r="DD46" s="36" t="str">
        <f t="shared" si="232"/>
        <v/>
      </c>
      <c r="DF46" s="36" t="str">
        <f t="shared" si="233"/>
        <v/>
      </c>
      <c r="DG46" s="36" t="str">
        <f t="shared" si="234"/>
        <v/>
      </c>
      <c r="DH46" s="36" t="str">
        <f t="shared" si="235"/>
        <v/>
      </c>
      <c r="DI46" s="36" t="str">
        <f t="shared" si="194"/>
        <v/>
      </c>
      <c r="DJ46" s="36" t="str">
        <f t="shared" si="236"/>
        <v/>
      </c>
      <c r="DL46" s="36" t="str">
        <f t="shared" si="195"/>
        <v/>
      </c>
      <c r="DM46" s="149" t="str">
        <f t="shared" si="237"/>
        <v/>
      </c>
      <c r="DN46" s="36" t="str">
        <f t="shared" si="238"/>
        <v/>
      </c>
      <c r="DO46" s="36" t="str">
        <f t="shared" si="239"/>
        <v/>
      </c>
      <c r="DP46" s="36" t="str">
        <f t="shared" si="240"/>
        <v/>
      </c>
      <c r="DR46" s="36" t="str">
        <f t="shared" si="241"/>
        <v/>
      </c>
      <c r="DS46" s="36" t="str">
        <f t="shared" si="242"/>
        <v/>
      </c>
      <c r="DT46" s="36" t="str">
        <f t="shared" si="243"/>
        <v/>
      </c>
      <c r="DV46" s="36" t="str">
        <f>DT43</f>
        <v/>
      </c>
      <c r="DX46" s="152" t="str">
        <f t="shared" si="244"/>
        <v/>
      </c>
      <c r="DY46" s="36" t="str">
        <f t="shared" si="245"/>
        <v/>
      </c>
      <c r="DZ46" s="36" t="str">
        <f t="shared" si="246"/>
        <v/>
      </c>
      <c r="EA46" s="36" t="str">
        <f t="shared" si="247"/>
        <v/>
      </c>
      <c r="EB46" s="173" t="str">
        <f t="shared" si="248"/>
        <v/>
      </c>
      <c r="EC46" s="36" t="str">
        <f>D52</f>
        <v/>
      </c>
      <c r="ED46" s="122">
        <v>7</v>
      </c>
      <c r="EE46" s="36" t="str">
        <f t="shared" si="249"/>
        <v/>
      </c>
      <c r="EF46" s="36">
        <f t="shared" si="250"/>
        <v>0</v>
      </c>
      <c r="EG46" s="36" t="str">
        <f>IF(SUM($BH$52:$BJ$52)=2,$BH$2,"")</f>
        <v/>
      </c>
      <c r="EH46" s="36" t="str">
        <f>IF(EE46="","",(INDEX(EG40:EG55,EE46-$CO$39)))</f>
        <v/>
      </c>
      <c r="EJ46" s="36">
        <f t="shared" si="251"/>
        <v>999</v>
      </c>
      <c r="EK46" s="36">
        <f>SMALL(EJ40:EJ55,ED46)</f>
        <v>999</v>
      </c>
      <c r="EL46" s="36" t="str">
        <f t="shared" si="356"/>
        <v/>
      </c>
      <c r="EM46" s="36">
        <f t="shared" si="252"/>
        <v>1</v>
      </c>
      <c r="EN46" s="36">
        <f t="shared" si="253"/>
        <v>0</v>
      </c>
      <c r="EQ46" s="36" t="str">
        <f t="shared" si="359"/>
        <v/>
      </c>
      <c r="ER46" s="36">
        <f t="shared" si="254"/>
        <v>0</v>
      </c>
      <c r="ES46" s="36">
        <f t="shared" si="255"/>
        <v>0</v>
      </c>
      <c r="ET46" s="149" t="str">
        <f t="shared" si="256"/>
        <v/>
      </c>
      <c r="EV46" s="36" t="str">
        <f>D52</f>
        <v/>
      </c>
      <c r="EW46" s="36" t="str">
        <f>E52</f>
        <v/>
      </c>
      <c r="EX46" s="36" t="str">
        <f>H52</f>
        <v/>
      </c>
      <c r="EY46" s="36" t="str">
        <f>K52</f>
        <v/>
      </c>
      <c r="EZ46" s="36" t="str">
        <f t="shared" si="257"/>
        <v/>
      </c>
      <c r="FB46" s="36" t="str">
        <f t="shared" si="258"/>
        <v/>
      </c>
      <c r="FC46" s="36" t="str">
        <f t="shared" si="259"/>
        <v/>
      </c>
      <c r="FD46" s="36" t="str">
        <f t="shared" si="196"/>
        <v/>
      </c>
      <c r="FE46" s="36" t="str">
        <f t="shared" si="197"/>
        <v/>
      </c>
      <c r="FF46" s="36" t="str">
        <f t="shared" si="198"/>
        <v/>
      </c>
      <c r="FG46" s="36" t="str">
        <f t="shared" si="199"/>
        <v/>
      </c>
      <c r="FI46" s="36" t="str">
        <f t="shared" si="260"/>
        <v/>
      </c>
      <c r="FL46" s="36" t="str">
        <f>IF(FC46="","",(IF(FB46="","",(IF(FC46=FD46,$DF$2,IF(FC46=FE46,$DF$2,IF(FC46=FF46,$DF$2,"")))))))</f>
        <v/>
      </c>
      <c r="FM46" s="36" t="str">
        <f t="shared" si="347"/>
        <v/>
      </c>
      <c r="FN46" s="36" t="str">
        <f t="shared" si="262"/>
        <v/>
      </c>
      <c r="FO46" s="36" t="str">
        <f t="shared" si="263"/>
        <v/>
      </c>
      <c r="FP46" s="36" t="str">
        <f>IF(FN46="","",(IF(FO46="",(IF(FN46=FO40,FN40,IF(FN46=FO41,FN41,IF(FN46=FO42,FN42,IF(FN46=FO43,FN43,IF(FN46=FO44,FN44,IF(FN46=FO45,FN45,IF(FN46=FO46,FN46,IF(FN46=FO47,FN47,""))))))))),FO46)))</f>
        <v/>
      </c>
      <c r="FQ46" s="36" t="str">
        <f>IF(FN46="","",(IF(FN46=FO48,FN48,IF(FN46=FO49,FN49,IF(FN46=FO50,FN50,IF(FN46=FO51,FN51,IF(FN46=FO52,FN52,IF(FN46=FO53,FN53,IF(FN46=FO54,FN54,IF(FN46=FO55,FN55,""))))))))))</f>
        <v/>
      </c>
      <c r="FR46" s="173" t="str">
        <f t="shared" si="264"/>
        <v/>
      </c>
      <c r="FT46" s="36">
        <f t="shared" si="348"/>
        <v>10</v>
      </c>
      <c r="FV46" s="36" t="str">
        <f t="shared" si="265"/>
        <v/>
      </c>
      <c r="FW46" s="36" t="str">
        <f>IF(FT46=FN48,FR48,IF(FT46=FN49,FR49,IF(FT46=FN50,FR50,IF(FT46=FN51,FR51,IF(FT46=FN52,FR52,IF(FT46=FN53,FR53,IF(FT46=FN54,FR54,IF(FT46=FN55,FR55,""))))))))</f>
        <v/>
      </c>
      <c r="FX46" s="36" t="str">
        <f t="shared" si="266"/>
        <v/>
      </c>
      <c r="FZ46" s="36" t="str">
        <f>FX43</f>
        <v/>
      </c>
      <c r="GA46" s="152"/>
      <c r="GB46" s="122">
        <v>7</v>
      </c>
      <c r="GC46" s="36" t="str">
        <f>IF(D52="","",D52)</f>
        <v/>
      </c>
      <c r="GD46" s="36" t="str">
        <f>IF(E52="","",E52)</f>
        <v/>
      </c>
      <c r="GE46" s="36" t="str">
        <f>IF(H52="","",H52)</f>
        <v/>
      </c>
      <c r="GF46" s="36" t="str">
        <f>IF(K52="","",K52)</f>
        <v/>
      </c>
      <c r="GG46" s="36" t="str">
        <f>IF(N52="","",N52)</f>
        <v/>
      </c>
      <c r="GH46" s="36" t="str">
        <f>IF(Q52="","",Q52)</f>
        <v/>
      </c>
      <c r="GI46" s="36" t="str">
        <f>IF(T52="","",T52)</f>
        <v/>
      </c>
      <c r="GJ46" s="36" t="str">
        <f>IF(W52="","",W52)</f>
        <v/>
      </c>
      <c r="GK46" s="36" t="str">
        <f>IF(C52="","",C52)</f>
        <v/>
      </c>
      <c r="GM46" s="36" t="str">
        <f>IF(F52="","",F52)</f>
        <v/>
      </c>
      <c r="GN46" s="36" t="str">
        <f>IF(I52="","",I52)</f>
        <v/>
      </c>
      <c r="GO46" s="36" t="str">
        <f>IF(L52="","",L52)</f>
        <v/>
      </c>
      <c r="GP46" s="36" t="str">
        <f>IF(O52="","",O52)</f>
        <v/>
      </c>
      <c r="GQ46" s="36" t="str">
        <f>IF(R52="","",R52)</f>
        <v/>
      </c>
      <c r="GR46" s="36" t="str">
        <f>IF(U52="","",U52)</f>
        <v/>
      </c>
      <c r="GS46" s="36" t="str">
        <f>IF(X52="","",X52)</f>
        <v/>
      </c>
      <c r="GU46" s="36" t="str">
        <f>IF(F53="","",F53)</f>
        <v/>
      </c>
      <c r="GV46" s="36" t="str">
        <f>IF(I53="","",I53)</f>
        <v/>
      </c>
      <c r="GW46" s="36" t="str">
        <f>IF(L53="","",L53)</f>
        <v/>
      </c>
      <c r="GX46" s="36" t="str">
        <f>IF(O53="","",O53)</f>
        <v/>
      </c>
      <c r="GY46" s="36" t="str">
        <f>IF(R53="","",R53)</f>
        <v/>
      </c>
      <c r="GZ46" s="36" t="str">
        <f>IF(U53="","",U53)</f>
        <v/>
      </c>
      <c r="HA46" s="153" t="str">
        <f>IF(X53="","",X53)</f>
        <v/>
      </c>
      <c r="HB46" s="183" t="str">
        <f>D52</f>
        <v/>
      </c>
      <c r="HC46" s="122">
        <v>7</v>
      </c>
      <c r="HD46" s="36" t="str">
        <f>IF(SUM($BH52:$BK52)&gt;=2,$BH$2,"")</f>
        <v/>
      </c>
      <c r="HE46" s="36" t="str">
        <f t="shared" si="267"/>
        <v/>
      </c>
      <c r="HF46" s="36" t="str">
        <f t="shared" si="200"/>
        <v/>
      </c>
      <c r="HG46" s="36" t="str">
        <f t="shared" si="201"/>
        <v/>
      </c>
      <c r="HH46" s="36" t="str">
        <f t="shared" si="202"/>
        <v/>
      </c>
      <c r="HI46" s="36" t="str">
        <f t="shared" si="203"/>
        <v/>
      </c>
      <c r="HK46" s="36" t="str">
        <f t="shared" si="360"/>
        <v/>
      </c>
      <c r="HM46" s="36">
        <f t="shared" si="268"/>
        <v>999</v>
      </c>
      <c r="HN46" s="36">
        <f t="shared" si="269"/>
        <v>999</v>
      </c>
      <c r="HO46" s="36" t="str">
        <f t="shared" si="204"/>
        <v/>
      </c>
      <c r="HQ46" s="36">
        <f t="shared" si="270"/>
        <v>1</v>
      </c>
      <c r="HR46" s="36">
        <f t="shared" si="271"/>
        <v>0</v>
      </c>
      <c r="HS46" s="36" t="str">
        <f t="shared" si="349"/>
        <v/>
      </c>
      <c r="HT46" s="36">
        <f t="shared" si="272"/>
        <v>0</v>
      </c>
      <c r="HU46" s="36" t="str">
        <f t="shared" si="273"/>
        <v/>
      </c>
      <c r="HV46" s="138"/>
      <c r="HW46" s="36" t="str">
        <f t="shared" si="274"/>
        <v/>
      </c>
      <c r="HX46" s="36" t="str">
        <f t="shared" si="275"/>
        <v/>
      </c>
      <c r="HY46" s="36" t="str">
        <f t="shared" si="276"/>
        <v/>
      </c>
      <c r="HZ46" s="36" t="str">
        <f t="shared" si="277"/>
        <v/>
      </c>
      <c r="IA46" s="36" t="str">
        <f t="shared" si="278"/>
        <v/>
      </c>
      <c r="IC46" s="36" t="str">
        <f t="shared" si="350"/>
        <v/>
      </c>
      <c r="ID46" s="36" t="str">
        <f t="shared" si="279"/>
        <v/>
      </c>
      <c r="IE46" s="36" t="str">
        <f t="shared" si="280"/>
        <v/>
      </c>
      <c r="IF46" s="36" t="str">
        <f t="shared" si="281"/>
        <v/>
      </c>
      <c r="IG46" s="36" t="str">
        <f t="shared" si="357"/>
        <v/>
      </c>
      <c r="IH46" s="149" t="str">
        <f t="shared" si="282"/>
        <v/>
      </c>
      <c r="II46" s="138"/>
      <c r="IJ46" s="36" t="str">
        <f t="shared" si="283"/>
        <v/>
      </c>
      <c r="IL46" s="36" t="str">
        <f t="shared" si="284"/>
        <v/>
      </c>
      <c r="IM46" s="36" t="str">
        <f t="shared" si="285"/>
        <v/>
      </c>
      <c r="IN46" s="36" t="str">
        <f t="shared" si="286"/>
        <v/>
      </c>
      <c r="IO46" s="36" t="str">
        <f t="shared" si="287"/>
        <v/>
      </c>
      <c r="IP46" s="36" t="str">
        <f>IN43</f>
        <v/>
      </c>
      <c r="IQ46" s="183" t="str">
        <f>D52</f>
        <v/>
      </c>
      <c r="IR46" s="122">
        <v>7</v>
      </c>
      <c r="IS46" s="36" t="str">
        <f>IF(SUM($BH52:$BL52)&gt;1,$BH$2,"")</f>
        <v/>
      </c>
      <c r="IT46" s="36" t="str">
        <f t="shared" si="288"/>
        <v/>
      </c>
      <c r="IU46" s="36" t="str">
        <f t="shared" si="289"/>
        <v/>
      </c>
      <c r="IV46" s="36" t="str">
        <f t="shared" si="290"/>
        <v/>
      </c>
      <c r="IW46" s="36" t="str">
        <f t="shared" si="291"/>
        <v/>
      </c>
      <c r="IX46" s="36" t="str">
        <f t="shared" si="292"/>
        <v/>
      </c>
      <c r="IY46" s="36" t="str">
        <f t="shared" si="293"/>
        <v/>
      </c>
      <c r="IZ46" s="36" t="str">
        <f t="shared" si="294"/>
        <v/>
      </c>
      <c r="JB46" s="36">
        <f t="shared" si="295"/>
        <v>999</v>
      </c>
      <c r="JC46" s="36">
        <f t="shared" si="296"/>
        <v>999</v>
      </c>
      <c r="JD46" s="36" t="str">
        <f t="shared" si="205"/>
        <v/>
      </c>
      <c r="JF46" s="36">
        <f t="shared" si="297"/>
        <v>1</v>
      </c>
      <c r="JG46" s="36">
        <f t="shared" si="298"/>
        <v>0</v>
      </c>
      <c r="JH46" s="36" t="str">
        <f t="shared" si="299"/>
        <v/>
      </c>
      <c r="JI46" s="36">
        <f t="shared" si="300"/>
        <v>0</v>
      </c>
      <c r="JJ46" s="149" t="str">
        <f t="shared" si="361"/>
        <v/>
      </c>
      <c r="JL46" s="36" t="str">
        <f t="shared" si="301"/>
        <v/>
      </c>
      <c r="JM46" s="36" t="str">
        <f t="shared" si="351"/>
        <v/>
      </c>
      <c r="JN46" s="36" t="str">
        <f t="shared" si="302"/>
        <v/>
      </c>
      <c r="JO46" s="36" t="str">
        <f t="shared" si="303"/>
        <v/>
      </c>
      <c r="JP46" s="36" t="str">
        <f t="shared" si="304"/>
        <v/>
      </c>
      <c r="JQ46" s="36" t="str">
        <f t="shared" si="305"/>
        <v/>
      </c>
      <c r="JS46" s="36" t="str">
        <f t="shared" si="306"/>
        <v/>
      </c>
      <c r="JT46" s="36" t="str">
        <f t="shared" si="307"/>
        <v/>
      </c>
      <c r="JU46" s="36" t="str">
        <f t="shared" si="308"/>
        <v/>
      </c>
      <c r="JV46" s="36" t="str">
        <f t="shared" si="309"/>
        <v/>
      </c>
      <c r="JW46" s="36" t="str">
        <f t="shared" si="310"/>
        <v/>
      </c>
      <c r="JX46" s="149" t="str">
        <f t="shared" si="311"/>
        <v/>
      </c>
      <c r="JY46" s="138"/>
      <c r="JZ46" s="36" t="str">
        <f t="shared" si="312"/>
        <v/>
      </c>
      <c r="KB46" s="36" t="str">
        <f t="shared" si="313"/>
        <v/>
      </c>
      <c r="KC46" s="36" t="str">
        <f t="shared" si="314"/>
        <v/>
      </c>
      <c r="KD46" s="36" t="str">
        <f t="shared" si="315"/>
        <v/>
      </c>
      <c r="KF46" s="36" t="str">
        <f>KD43</f>
        <v/>
      </c>
      <c r="KG46" s="183" t="str">
        <f>D52</f>
        <v/>
      </c>
      <c r="KH46" s="122">
        <v>7</v>
      </c>
      <c r="KI46" s="36" t="str">
        <f>IF(SUM($BH52:$BM52)&gt;1,$BH$2,"")</f>
        <v/>
      </c>
      <c r="KJ46" s="36" t="str">
        <f t="shared" si="316"/>
        <v/>
      </c>
      <c r="KK46" s="36" t="str">
        <f t="shared" si="317"/>
        <v/>
      </c>
      <c r="KL46" s="36" t="str">
        <f t="shared" si="318"/>
        <v/>
      </c>
      <c r="KM46" s="36" t="str">
        <f t="shared" si="319"/>
        <v/>
      </c>
      <c r="KN46" s="36" t="str">
        <f t="shared" si="320"/>
        <v/>
      </c>
      <c r="KO46" s="36" t="str">
        <f t="shared" si="321"/>
        <v/>
      </c>
      <c r="KP46" s="36" t="str">
        <f t="shared" si="322"/>
        <v/>
      </c>
      <c r="KQ46" s="36" t="str">
        <f t="shared" si="323"/>
        <v/>
      </c>
      <c r="KS46" s="36">
        <f t="shared" si="324"/>
        <v>999</v>
      </c>
      <c r="KT46" s="36">
        <f t="shared" si="325"/>
        <v>999</v>
      </c>
      <c r="KU46" s="36" t="str">
        <f t="shared" si="206"/>
        <v/>
      </c>
      <c r="KW46" s="36">
        <f t="shared" si="326"/>
        <v>1</v>
      </c>
      <c r="KX46" s="36">
        <f t="shared" si="327"/>
        <v>0</v>
      </c>
      <c r="KY46" s="36" t="str">
        <f t="shared" si="352"/>
        <v/>
      </c>
      <c r="KZ46" s="36">
        <f t="shared" si="328"/>
        <v>0</v>
      </c>
      <c r="LA46" s="149" t="str">
        <f t="shared" si="329"/>
        <v/>
      </c>
      <c r="LC46" s="36" t="str">
        <f t="shared" si="330"/>
        <v/>
      </c>
      <c r="LD46" s="36" t="str">
        <f t="shared" si="331"/>
        <v/>
      </c>
      <c r="LE46" s="36" t="str">
        <f t="shared" si="332"/>
        <v/>
      </c>
      <c r="LF46" s="36" t="str">
        <f t="shared" si="333"/>
        <v/>
      </c>
      <c r="LG46" s="36" t="str">
        <f t="shared" si="334"/>
        <v/>
      </c>
      <c r="LH46" s="36" t="str">
        <f t="shared" si="335"/>
        <v/>
      </c>
      <c r="LI46" s="36" t="str">
        <f t="shared" si="336"/>
        <v/>
      </c>
      <c r="LJ46" s="36" t="str">
        <f t="shared" si="337"/>
        <v/>
      </c>
      <c r="LK46" s="36" t="str">
        <f t="shared" ref="LK46:LK55" si="362">IF(KY46="","",(IF(LC46=LD46,$ID$6,IF(LC46=LE46,$ID$6,IF(LC46=LF46,$ID$6,IF(LC46=LG46,$ID$6,IF(LC46=LH46,$ID$6,IF(LC46=LI46,$ID$6,""))))))))</f>
        <v/>
      </c>
      <c r="LL46" s="36" t="str">
        <f t="shared" si="338"/>
        <v/>
      </c>
      <c r="LM46" s="36" t="str">
        <f t="shared" si="339"/>
        <v/>
      </c>
      <c r="LN46" s="36" t="str">
        <f t="shared" si="340"/>
        <v/>
      </c>
      <c r="LO46" s="149" t="str">
        <f t="shared" si="341"/>
        <v/>
      </c>
      <c r="LP46" s="138"/>
      <c r="LQ46" s="36" t="str">
        <f t="shared" si="342"/>
        <v/>
      </c>
      <c r="LS46" s="36" t="str">
        <f t="shared" si="353"/>
        <v/>
      </c>
      <c r="LT46" s="36" t="str">
        <f t="shared" si="343"/>
        <v/>
      </c>
      <c r="LU46" s="36" t="str">
        <f t="shared" si="208"/>
        <v/>
      </c>
      <c r="LW46" s="153" t="str">
        <f>LU43</f>
        <v/>
      </c>
      <c r="LX46" s="152"/>
    </row>
    <row r="47" spans="1:336" ht="14.25" customHeight="1" thickBot="1" x14ac:dyDescent="0.3">
      <c r="A47" s="375"/>
      <c r="B47" s="374"/>
      <c r="C47" s="363"/>
      <c r="D47" s="362"/>
      <c r="E47" s="346"/>
      <c r="F47" s="29"/>
      <c r="G47" s="30"/>
      <c r="H47" s="334"/>
      <c r="I47" s="29"/>
      <c r="J47" s="30"/>
      <c r="K47" s="334"/>
      <c r="L47" s="29"/>
      <c r="M47" s="30"/>
      <c r="N47" s="334"/>
      <c r="O47" s="29"/>
      <c r="P47" s="30"/>
      <c r="Q47" s="334"/>
      <c r="R47" s="29"/>
      <c r="S47" s="30"/>
      <c r="T47" s="334"/>
      <c r="U47" s="29"/>
      <c r="V47" s="30"/>
      <c r="W47" s="337"/>
      <c r="X47" s="29"/>
      <c r="Y47" s="30"/>
      <c r="Z47" s="338"/>
      <c r="AA47" s="335"/>
      <c r="AB47" s="336"/>
      <c r="AC47" s="355"/>
      <c r="AD47" s="328"/>
      <c r="AE47" s="328"/>
      <c r="AG47" s="252">
        <v>8</v>
      </c>
      <c r="AH47" s="138" t="str">
        <f t="shared" si="209"/>
        <v/>
      </c>
      <c r="AI47" s="177"/>
      <c r="AJ47" s="36" t="str">
        <f t="shared" si="188"/>
        <v/>
      </c>
      <c r="AK47" s="149" t="str">
        <f t="shared" si="210"/>
        <v/>
      </c>
      <c r="AM47" s="138" t="str">
        <f t="shared" si="354"/>
        <v/>
      </c>
      <c r="AN47" s="177"/>
      <c r="AO47" s="36" t="str">
        <f t="shared" si="189"/>
        <v/>
      </c>
      <c r="AP47" s="149" t="str">
        <f t="shared" si="211"/>
        <v/>
      </c>
      <c r="AR47" s="138" t="str">
        <f t="shared" si="212"/>
        <v/>
      </c>
      <c r="AS47" s="177"/>
      <c r="AT47" s="36" t="str">
        <f t="shared" si="213"/>
        <v/>
      </c>
      <c r="AU47" s="149" t="str">
        <f t="shared" si="355"/>
        <v/>
      </c>
      <c r="AW47" s="138" t="str">
        <f t="shared" si="214"/>
        <v/>
      </c>
      <c r="AX47" s="177"/>
      <c r="AY47" s="36" t="str">
        <f t="shared" si="215"/>
        <v/>
      </c>
      <c r="AZ47" s="149" t="str">
        <f t="shared" si="190"/>
        <v/>
      </c>
      <c r="BB47" s="138" t="str">
        <f t="shared" si="358"/>
        <v/>
      </c>
      <c r="BC47" s="177"/>
      <c r="BD47" s="36" t="str">
        <f t="shared" si="216"/>
        <v/>
      </c>
      <c r="BE47" s="149" t="str">
        <f t="shared" si="217"/>
        <v/>
      </c>
      <c r="BH47" s="36" t="str">
        <f>IF(E47=$BQ$2,"",(IF(A47="","",(IF(F47="","",(IF(F47&lt;2,1,0)))))))</f>
        <v/>
      </c>
      <c r="BI47" s="36" t="str">
        <f>IF(H47=$BQ$2,"",(IF(A47="","",(IF(I47="","",(IF(I47&lt;2,1,0)))))))</f>
        <v/>
      </c>
      <c r="BJ47" s="36" t="str">
        <f>IF(K47=$BQ$2,"",(IF(A47="","",(IF(L47="","",(IF(L47&lt;2,1,0)))))))</f>
        <v/>
      </c>
      <c r="BK47" s="36" t="str">
        <f>IF(W47=$BQ$2,"",(IF(A47="","",(IF(X47="","",(IF(X47&lt;2,1,0)))))))</f>
        <v/>
      </c>
      <c r="BP47" s="36" t="str">
        <f>IF(BH47="","",(SUM(BH47:BK47)))</f>
        <v/>
      </c>
      <c r="BR47" s="36" t="str">
        <f>BP54</f>
        <v/>
      </c>
      <c r="BS47" s="36" t="str">
        <f>D54</f>
        <v/>
      </c>
      <c r="BT47" s="122" t="str">
        <f>IF(SUM(BH54,BI54)=2,$BH$2,"")</f>
        <v/>
      </c>
      <c r="BV47" s="36">
        <f t="shared" si="191"/>
        <v>999</v>
      </c>
      <c r="BW47" s="36">
        <f t="shared" si="192"/>
        <v>999</v>
      </c>
      <c r="BX47" s="36">
        <f t="shared" si="344"/>
        <v>8</v>
      </c>
      <c r="BY47" s="36">
        <f t="shared" si="218"/>
        <v>999</v>
      </c>
      <c r="CB47" s="122">
        <v>8</v>
      </c>
      <c r="CC47" s="36">
        <f>IF((D54)="",0,D54)</f>
        <v>0</v>
      </c>
      <c r="CD47" s="36">
        <f t="shared" si="219"/>
        <v>0</v>
      </c>
      <c r="CE47" s="36">
        <f t="shared" si="220"/>
        <v>0</v>
      </c>
      <c r="CH47" s="36">
        <f t="shared" si="345"/>
        <v>0</v>
      </c>
      <c r="CI47" s="36">
        <f t="shared" si="221"/>
        <v>0</v>
      </c>
      <c r="CJ47" s="36">
        <f t="shared" si="222"/>
        <v>0</v>
      </c>
      <c r="CM47" s="36">
        <f t="shared" si="346"/>
        <v>0</v>
      </c>
      <c r="CO47" s="36">
        <f t="shared" si="223"/>
        <v>0</v>
      </c>
      <c r="CP47" s="36" t="str">
        <f t="shared" si="224"/>
        <v/>
      </c>
      <c r="CQ47" s="36">
        <f t="shared" si="225"/>
        <v>999</v>
      </c>
      <c r="CR47" s="36">
        <f t="shared" si="226"/>
        <v>8</v>
      </c>
      <c r="CS47" s="36">
        <f t="shared" si="227"/>
        <v>9</v>
      </c>
      <c r="CT47" s="36">
        <f t="shared" si="193"/>
        <v>999</v>
      </c>
      <c r="CU47" s="36" t="str">
        <f t="shared" si="228"/>
        <v/>
      </c>
      <c r="CV47" s="36">
        <f t="shared" si="229"/>
        <v>0</v>
      </c>
      <c r="CW47" s="36">
        <f t="shared" si="230"/>
        <v>0</v>
      </c>
      <c r="CX47" s="149" t="str">
        <f t="shared" si="231"/>
        <v/>
      </c>
      <c r="DA47" s="36" t="str">
        <f>D54</f>
        <v/>
      </c>
      <c r="DB47" s="36" t="str">
        <f>E54</f>
        <v/>
      </c>
      <c r="DC47" s="36" t="str">
        <f>H54</f>
        <v/>
      </c>
      <c r="DD47" s="36" t="str">
        <f t="shared" si="232"/>
        <v/>
      </c>
      <c r="DF47" s="36" t="str">
        <f t="shared" si="233"/>
        <v/>
      </c>
      <c r="DG47" s="36" t="str">
        <f t="shared" si="234"/>
        <v/>
      </c>
      <c r="DH47" s="36" t="str">
        <f t="shared" si="235"/>
        <v/>
      </c>
      <c r="DI47" s="36" t="str">
        <f t="shared" si="194"/>
        <v/>
      </c>
      <c r="DJ47" s="36" t="str">
        <f t="shared" si="236"/>
        <v/>
      </c>
      <c r="DL47" s="36" t="str">
        <f t="shared" si="195"/>
        <v/>
      </c>
      <c r="DM47" s="149" t="str">
        <f t="shared" si="237"/>
        <v/>
      </c>
      <c r="DN47" s="36" t="str">
        <f t="shared" si="238"/>
        <v/>
      </c>
      <c r="DO47" s="36" t="str">
        <f t="shared" si="239"/>
        <v/>
      </c>
      <c r="DP47" s="36" t="str">
        <f t="shared" si="240"/>
        <v/>
      </c>
      <c r="DR47" s="36" t="str">
        <f t="shared" si="241"/>
        <v/>
      </c>
      <c r="DS47" s="36" t="str">
        <f t="shared" si="242"/>
        <v/>
      </c>
      <c r="DT47" s="36" t="str">
        <f t="shared" si="243"/>
        <v/>
      </c>
      <c r="DX47" s="152" t="str">
        <f t="shared" si="244"/>
        <v/>
      </c>
      <c r="DY47" s="36" t="str">
        <f t="shared" si="245"/>
        <v/>
      </c>
      <c r="DZ47" s="36" t="str">
        <f t="shared" si="246"/>
        <v/>
      </c>
      <c r="EA47" s="36" t="str">
        <f t="shared" si="247"/>
        <v/>
      </c>
      <c r="EB47" s="173" t="str">
        <f t="shared" si="248"/>
        <v/>
      </c>
      <c r="EC47" s="36" t="str">
        <f>D54</f>
        <v/>
      </c>
      <c r="ED47" s="122">
        <v>8</v>
      </c>
      <c r="EE47" s="36" t="str">
        <f t="shared" si="249"/>
        <v/>
      </c>
      <c r="EF47" s="36">
        <f t="shared" si="250"/>
        <v>0</v>
      </c>
      <c r="EG47" s="36" t="str">
        <f>IF(SUM($BH$54:$BJ$54)=2,$BH$2,"")</f>
        <v/>
      </c>
      <c r="EH47" s="36" t="str">
        <f>IF(EE47="","",(INDEX(EG40:EG55,EE47-$CO$39)))</f>
        <v/>
      </c>
      <c r="EJ47" s="36">
        <f t="shared" si="251"/>
        <v>999</v>
      </c>
      <c r="EK47" s="36">
        <f>SMALL(EJ40:EJ55,ED47)</f>
        <v>999</v>
      </c>
      <c r="EL47" s="36" t="str">
        <f t="shared" si="356"/>
        <v/>
      </c>
      <c r="EM47" s="36">
        <f t="shared" si="252"/>
        <v>1</v>
      </c>
      <c r="EN47" s="36">
        <f t="shared" si="253"/>
        <v>0</v>
      </c>
      <c r="EQ47" s="36" t="str">
        <f t="shared" si="359"/>
        <v/>
      </c>
      <c r="ER47" s="36">
        <f t="shared" si="254"/>
        <v>0</v>
      </c>
      <c r="ES47" s="36">
        <f t="shared" si="255"/>
        <v>0</v>
      </c>
      <c r="ET47" s="149" t="str">
        <f t="shared" si="256"/>
        <v/>
      </c>
      <c r="EV47" s="36" t="str">
        <f>D54</f>
        <v/>
      </c>
      <c r="EW47" s="36" t="str">
        <f>E54</f>
        <v/>
      </c>
      <c r="EX47" s="36" t="str">
        <f>H54</f>
        <v/>
      </c>
      <c r="EY47" s="36" t="str">
        <f>K54</f>
        <v/>
      </c>
      <c r="EZ47" s="36" t="str">
        <f t="shared" si="257"/>
        <v/>
      </c>
      <c r="FB47" s="36" t="str">
        <f t="shared" si="258"/>
        <v/>
      </c>
      <c r="FC47" s="36" t="str">
        <f t="shared" si="259"/>
        <v/>
      </c>
      <c r="FD47" s="36" t="str">
        <f t="shared" si="196"/>
        <v/>
      </c>
      <c r="FE47" s="36" t="str">
        <f t="shared" si="197"/>
        <v/>
      </c>
      <c r="FF47" s="36" t="str">
        <f t="shared" si="198"/>
        <v/>
      </c>
      <c r="FG47" s="36" t="str">
        <f t="shared" si="199"/>
        <v/>
      </c>
      <c r="FI47" s="36" t="str">
        <f t="shared" si="260"/>
        <v/>
      </c>
      <c r="FL47" s="36" t="str">
        <f t="shared" si="261"/>
        <v/>
      </c>
      <c r="FM47" s="36" t="str">
        <f t="shared" si="347"/>
        <v/>
      </c>
      <c r="FN47" s="36" t="str">
        <f t="shared" si="262"/>
        <v/>
      </c>
      <c r="FO47" s="36" t="str">
        <f t="shared" si="263"/>
        <v/>
      </c>
      <c r="FP47" s="36" t="str">
        <f>IF(FN47="","",(IF(FO47="",(IF(FN47=FO40,FN40,IF(FN47=FO41,FN41,IF(FN47=FO42,FN42,IF(FN47=FO43,FN43,IF(FN47=FO44,FN44,IF(FN47=FO45,FN45,IF(FN47=FO46,FN46,IF(FN47=FO47,FN47,""))))))))),FO47)))</f>
        <v/>
      </c>
      <c r="FQ47" s="36" t="str">
        <f>IF(FN47="","",(IF(FN47=FO48,FN48,IF(FN47=FO49,FN49,IF(FN47=FO50,FN50,IF(FN47=FO51,FN51,IF(FN47=FO52,FN52,IF(FN47=FO53,FN53,IF(FN47=FO54,FN54,IF(FN47=FO55,FN55,""))))))))))</f>
        <v/>
      </c>
      <c r="FR47" s="173" t="str">
        <f t="shared" si="264"/>
        <v/>
      </c>
      <c r="FT47" s="36">
        <f t="shared" si="348"/>
        <v>11</v>
      </c>
      <c r="FV47" s="36" t="str">
        <f t="shared" si="265"/>
        <v/>
      </c>
      <c r="FW47" s="36" t="str">
        <f>IF(FT47=FN48,FR48,IF(FT47=FN49,FR49,IF(FT47=FN50,FR50,IF(FT47=FN51,FR51,IF(FT47=FN52,FR52,IF(FT47=FN53,FR53,IF(FT47=FN54,FR54,IF(FT47=FN55,FR55,""))))))))</f>
        <v/>
      </c>
      <c r="FX47" s="36" t="str">
        <f t="shared" si="266"/>
        <v/>
      </c>
      <c r="GA47" s="152"/>
      <c r="GB47" s="122">
        <v>8</v>
      </c>
      <c r="GC47" s="36" t="str">
        <f>IF(D54="","",D54)</f>
        <v/>
      </c>
      <c r="GD47" s="36" t="str">
        <f>IF(E54="","",E54)</f>
        <v/>
      </c>
      <c r="GE47" s="36" t="str">
        <f>IF(H54="","",H54)</f>
        <v/>
      </c>
      <c r="GF47" s="36" t="str">
        <f>IF(K54="","",K54)</f>
        <v/>
      </c>
      <c r="GG47" s="36" t="str">
        <f>IF(N54="","",N54)</f>
        <v/>
      </c>
      <c r="GH47" s="36" t="str">
        <f>IF(Q54="","",Q54)</f>
        <v/>
      </c>
      <c r="GI47" s="36" t="str">
        <f>IF(T54="","",T54)</f>
        <v/>
      </c>
      <c r="GJ47" s="36" t="str">
        <f>IF(W54="","",W54)</f>
        <v/>
      </c>
      <c r="GK47" s="36" t="str">
        <f>IF(C54="","",C54)</f>
        <v/>
      </c>
      <c r="GM47" s="36" t="str">
        <f>IF(F54="","",F54)</f>
        <v/>
      </c>
      <c r="GN47" s="36" t="str">
        <f>IF(I54="","",I54)</f>
        <v/>
      </c>
      <c r="GO47" s="36" t="str">
        <f>IF(L54="","",L54)</f>
        <v/>
      </c>
      <c r="GP47" s="36" t="str">
        <f>IF(O54="","",O54)</f>
        <v/>
      </c>
      <c r="GQ47" s="36" t="str">
        <f>IF(R54="","",R54)</f>
        <v/>
      </c>
      <c r="GR47" s="36" t="str">
        <f>IF(U54="","",U54)</f>
        <v/>
      </c>
      <c r="GS47" s="36" t="str">
        <f>IF(X54="","",X54)</f>
        <v/>
      </c>
      <c r="GU47" s="36" t="str">
        <f>IF(F55="","",F55)</f>
        <v/>
      </c>
      <c r="GV47" s="36" t="str">
        <f>IF(I55="","",I55)</f>
        <v/>
      </c>
      <c r="GW47" s="36" t="str">
        <f>IF(L55="","",L55)</f>
        <v/>
      </c>
      <c r="GX47" s="36" t="str">
        <f>IF(O55="","",O55)</f>
        <v/>
      </c>
      <c r="GY47" s="36" t="str">
        <f>IF(R55="","",R55)</f>
        <v/>
      </c>
      <c r="GZ47" s="36" t="str">
        <f>IF(U55="","",U55)</f>
        <v/>
      </c>
      <c r="HA47" s="153" t="str">
        <f>IF(X55="","",X55)</f>
        <v/>
      </c>
      <c r="HB47" s="183" t="str">
        <f>D54</f>
        <v/>
      </c>
      <c r="HC47" s="122">
        <v>8</v>
      </c>
      <c r="HD47" s="36" t="str">
        <f>IF(SUM($BH54:$BK54)&gt;=2,$BH$2,"")</f>
        <v/>
      </c>
      <c r="HE47" s="36" t="str">
        <f t="shared" si="267"/>
        <v/>
      </c>
      <c r="HF47" s="36" t="str">
        <f t="shared" si="200"/>
        <v/>
      </c>
      <c r="HG47" s="36" t="str">
        <f t="shared" si="201"/>
        <v/>
      </c>
      <c r="HH47" s="36" t="str">
        <f t="shared" si="202"/>
        <v/>
      </c>
      <c r="HI47" s="36" t="str">
        <f t="shared" si="203"/>
        <v/>
      </c>
      <c r="HK47" s="36" t="str">
        <f t="shared" si="360"/>
        <v/>
      </c>
      <c r="HM47" s="36">
        <f t="shared" si="268"/>
        <v>999</v>
      </c>
      <c r="HN47" s="36">
        <f t="shared" si="269"/>
        <v>999</v>
      </c>
      <c r="HO47" s="36" t="str">
        <f t="shared" si="204"/>
        <v/>
      </c>
      <c r="HQ47" s="36">
        <f t="shared" si="270"/>
        <v>1</v>
      </c>
      <c r="HR47" s="36">
        <f t="shared" si="271"/>
        <v>0</v>
      </c>
      <c r="HS47" s="36" t="str">
        <f t="shared" si="349"/>
        <v/>
      </c>
      <c r="HT47" s="36">
        <f t="shared" si="272"/>
        <v>0</v>
      </c>
      <c r="HU47" s="36" t="str">
        <f t="shared" si="273"/>
        <v/>
      </c>
      <c r="HV47" s="138"/>
      <c r="HW47" s="36" t="str">
        <f t="shared" si="274"/>
        <v/>
      </c>
      <c r="HX47" s="36" t="str">
        <f t="shared" si="275"/>
        <v/>
      </c>
      <c r="HY47" s="36" t="str">
        <f t="shared" si="276"/>
        <v/>
      </c>
      <c r="HZ47" s="36" t="str">
        <f t="shared" si="277"/>
        <v/>
      </c>
      <c r="IA47" s="36" t="str">
        <f t="shared" si="278"/>
        <v/>
      </c>
      <c r="IC47" s="36" t="str">
        <f t="shared" si="350"/>
        <v/>
      </c>
      <c r="ID47" s="36" t="str">
        <f t="shared" ref="ID47:ID55" si="363">IF(HS47="","",(IF(HW47=HX47,$ID$6,IF(HW47=HY47,$ID$6,IF(HW47=HZ47,$ID$6,IF(HW47=IA47,$ID$6,""))))))</f>
        <v/>
      </c>
      <c r="IE47" s="36" t="str">
        <f t="shared" si="280"/>
        <v/>
      </c>
      <c r="IF47" s="36" t="str">
        <f t="shared" si="281"/>
        <v/>
      </c>
      <c r="IG47" s="36" t="str">
        <f t="shared" si="357"/>
        <v/>
      </c>
      <c r="IH47" s="149" t="str">
        <f>IF(IC47="",IF(ID47="",IF(IG47="",IF(IE47="","",IE47),IG47),ID47),IC47)</f>
        <v/>
      </c>
      <c r="II47" s="138"/>
      <c r="IJ47" s="36" t="str">
        <f t="shared" si="283"/>
        <v/>
      </c>
      <c r="IL47" s="36" t="str">
        <f t="shared" si="284"/>
        <v/>
      </c>
      <c r="IM47" s="36" t="str">
        <f t="shared" si="285"/>
        <v/>
      </c>
      <c r="IN47" s="36" t="str">
        <f t="shared" si="286"/>
        <v/>
      </c>
      <c r="IO47" s="36" t="str">
        <f t="shared" si="287"/>
        <v/>
      </c>
      <c r="IQ47" s="183" t="str">
        <f>D54</f>
        <v/>
      </c>
      <c r="IR47" s="122">
        <v>8</v>
      </c>
      <c r="IS47" s="36" t="str">
        <f>IF(SUM($BH54:$BL54)&gt;1,$BH$2,"")</f>
        <v/>
      </c>
      <c r="IT47" s="36" t="str">
        <f t="shared" si="288"/>
        <v/>
      </c>
      <c r="IU47" s="36" t="str">
        <f t="shared" si="289"/>
        <v/>
      </c>
      <c r="IV47" s="36" t="str">
        <f t="shared" si="290"/>
        <v/>
      </c>
      <c r="IW47" s="36" t="str">
        <f t="shared" si="291"/>
        <v/>
      </c>
      <c r="IX47" s="36" t="str">
        <f t="shared" si="292"/>
        <v/>
      </c>
      <c r="IY47" s="36" t="str">
        <f t="shared" si="293"/>
        <v/>
      </c>
      <c r="IZ47" s="36" t="str">
        <f t="shared" si="294"/>
        <v/>
      </c>
      <c r="JB47" s="36">
        <f t="shared" si="295"/>
        <v>999</v>
      </c>
      <c r="JC47" s="36">
        <f t="shared" si="296"/>
        <v>999</v>
      </c>
      <c r="JD47" s="36" t="str">
        <f t="shared" si="205"/>
        <v/>
      </c>
      <c r="JF47" s="36">
        <f t="shared" si="297"/>
        <v>1</v>
      </c>
      <c r="JG47" s="36">
        <f t="shared" si="298"/>
        <v>0</v>
      </c>
      <c r="JH47" s="36" t="str">
        <f t="shared" si="299"/>
        <v/>
      </c>
      <c r="JI47" s="36">
        <f t="shared" si="300"/>
        <v>0</v>
      </c>
      <c r="JJ47" s="149" t="str">
        <f t="shared" si="361"/>
        <v/>
      </c>
      <c r="JL47" s="36" t="str">
        <f t="shared" si="301"/>
        <v/>
      </c>
      <c r="JM47" s="36" t="str">
        <f t="shared" si="351"/>
        <v/>
      </c>
      <c r="JN47" s="36" t="str">
        <f t="shared" si="302"/>
        <v/>
      </c>
      <c r="JO47" s="36" t="str">
        <f t="shared" si="303"/>
        <v/>
      </c>
      <c r="JP47" s="36" t="str">
        <f t="shared" si="304"/>
        <v/>
      </c>
      <c r="JQ47" s="36" t="str">
        <f t="shared" si="305"/>
        <v/>
      </c>
      <c r="JS47" s="36" t="str">
        <f t="shared" si="306"/>
        <v/>
      </c>
      <c r="JT47" s="36" t="str">
        <f t="shared" si="307"/>
        <v/>
      </c>
      <c r="JU47" s="36" t="str">
        <f t="shared" si="308"/>
        <v/>
      </c>
      <c r="JV47" s="36" t="str">
        <f t="shared" si="309"/>
        <v/>
      </c>
      <c r="JW47" s="36" t="str">
        <f t="shared" si="310"/>
        <v/>
      </c>
      <c r="JX47" s="149" t="str">
        <f t="shared" si="311"/>
        <v/>
      </c>
      <c r="JY47" s="138"/>
      <c r="JZ47" s="36" t="str">
        <f t="shared" si="312"/>
        <v/>
      </c>
      <c r="KB47" s="36" t="str">
        <f t="shared" si="313"/>
        <v/>
      </c>
      <c r="KC47" s="36" t="str">
        <f t="shared" si="314"/>
        <v/>
      </c>
      <c r="KD47" s="36" t="str">
        <f t="shared" si="315"/>
        <v/>
      </c>
      <c r="KG47" s="183" t="str">
        <f>D54</f>
        <v/>
      </c>
      <c r="KH47" s="122">
        <v>8</v>
      </c>
      <c r="KI47" s="36" t="str">
        <f>IF(SUM($BH54:$BM54)&gt;1,$BH$2,"")</f>
        <v/>
      </c>
      <c r="KJ47" s="36" t="str">
        <f t="shared" si="316"/>
        <v/>
      </c>
      <c r="KK47" s="36" t="str">
        <f t="shared" si="317"/>
        <v/>
      </c>
      <c r="KL47" s="36" t="str">
        <f t="shared" si="318"/>
        <v/>
      </c>
      <c r="KM47" s="36" t="str">
        <f t="shared" si="319"/>
        <v/>
      </c>
      <c r="KN47" s="36" t="str">
        <f t="shared" si="320"/>
        <v/>
      </c>
      <c r="KO47" s="36" t="str">
        <f t="shared" si="321"/>
        <v/>
      </c>
      <c r="KP47" s="36" t="str">
        <f t="shared" si="322"/>
        <v/>
      </c>
      <c r="KQ47" s="36" t="str">
        <f t="shared" si="323"/>
        <v/>
      </c>
      <c r="KS47" s="36">
        <f t="shared" si="324"/>
        <v>999</v>
      </c>
      <c r="KT47" s="36">
        <f t="shared" si="325"/>
        <v>999</v>
      </c>
      <c r="KU47" s="36" t="str">
        <f t="shared" si="206"/>
        <v/>
      </c>
      <c r="KW47" s="36">
        <f t="shared" si="326"/>
        <v>1</v>
      </c>
      <c r="KX47" s="36">
        <f t="shared" si="327"/>
        <v>0</v>
      </c>
      <c r="KY47" s="36" t="str">
        <f t="shared" si="352"/>
        <v/>
      </c>
      <c r="KZ47" s="36">
        <f t="shared" si="328"/>
        <v>0</v>
      </c>
      <c r="LA47" s="149" t="str">
        <f t="shared" si="329"/>
        <v/>
      </c>
      <c r="LC47" s="36" t="str">
        <f t="shared" si="330"/>
        <v/>
      </c>
      <c r="LD47" s="36" t="str">
        <f t="shared" si="331"/>
        <v/>
      </c>
      <c r="LE47" s="36" t="str">
        <f t="shared" si="332"/>
        <v/>
      </c>
      <c r="LF47" s="36" t="str">
        <f t="shared" si="333"/>
        <v/>
      </c>
      <c r="LG47" s="36" t="str">
        <f t="shared" si="334"/>
        <v/>
      </c>
      <c r="LH47" s="36" t="str">
        <f t="shared" si="335"/>
        <v/>
      </c>
      <c r="LI47" s="36" t="str">
        <f t="shared" si="336"/>
        <v/>
      </c>
      <c r="LJ47" s="36" t="str">
        <f t="shared" si="337"/>
        <v/>
      </c>
      <c r="LK47" s="36" t="str">
        <f t="shared" si="362"/>
        <v/>
      </c>
      <c r="LL47" s="36" t="str">
        <f t="shared" si="338"/>
        <v/>
      </c>
      <c r="LM47" s="36" t="str">
        <f t="shared" si="339"/>
        <v/>
      </c>
      <c r="LN47" s="36" t="str">
        <f t="shared" si="340"/>
        <v/>
      </c>
      <c r="LO47" s="149" t="str">
        <f t="shared" si="341"/>
        <v/>
      </c>
      <c r="LP47" s="138"/>
      <c r="LQ47" s="36" t="str">
        <f t="shared" si="342"/>
        <v/>
      </c>
      <c r="LS47" s="36" t="str">
        <f t="shared" si="353"/>
        <v/>
      </c>
      <c r="LT47" s="36" t="str">
        <f t="shared" si="343"/>
        <v/>
      </c>
      <c r="LU47" s="36" t="str">
        <f t="shared" si="208"/>
        <v/>
      </c>
      <c r="LW47" s="153"/>
      <c r="LX47" s="152"/>
    </row>
    <row r="48" spans="1:336" ht="14.25" customHeight="1" thickBot="1" x14ac:dyDescent="0.3">
      <c r="A48" s="375" t="str">
        <f>'Vážní listina'!HQ47</f>
        <v/>
      </c>
      <c r="B48" s="374" t="str">
        <f>'Vážní listina'!HR47</f>
        <v/>
      </c>
      <c r="C48" s="363" t="str">
        <f>IF(BP48="","",(IF(BP48&gt;1,$BH$2,"")))</f>
        <v/>
      </c>
      <c r="D48" s="361" t="str">
        <f>'Vážní listina'!HK47</f>
        <v/>
      </c>
      <c r="E48" s="343" t="str">
        <f>'Vážní listina'!HL47</f>
        <v/>
      </c>
      <c r="F48" s="26"/>
      <c r="G48" s="33"/>
      <c r="H48" s="343" t="str">
        <f>IF(H5="","",'Vážní listina'!HM47)</f>
        <v/>
      </c>
      <c r="I48" s="26"/>
      <c r="J48" s="33"/>
      <c r="K48" s="334" t="str">
        <f>IF(K5="","",DV48)</f>
        <v/>
      </c>
      <c r="L48" s="26"/>
      <c r="M48" s="33"/>
      <c r="N48" s="334" t="str">
        <f>IF(N5="","",FZ48)</f>
        <v/>
      </c>
      <c r="O48" s="26"/>
      <c r="P48" s="33"/>
      <c r="Q48" s="334" t="str">
        <f>IF(Q5="","",IP48)</f>
        <v/>
      </c>
      <c r="R48" s="26"/>
      <c r="S48" s="33"/>
      <c r="T48" s="334" t="str">
        <f>IF(T5="","",KF48)</f>
        <v/>
      </c>
      <c r="U48" s="26"/>
      <c r="V48" s="33"/>
      <c r="W48" s="337" t="str">
        <f>IF(W5="","",LW48)</f>
        <v/>
      </c>
      <c r="X48" s="26"/>
      <c r="Y48" s="33"/>
      <c r="Z48" s="338" t="str">
        <f>IF(A48="","",(F48+I48+L48+O48+R48+U48+X48))</f>
        <v/>
      </c>
      <c r="AA48" s="335" t="str">
        <f>IF(A48="","",(F49+I49+L49+O49+R49+U49+X49))</f>
        <v/>
      </c>
      <c r="AB48" s="336" t="str">
        <f>IF(A48="","",(G48+J48+M48+P48+S48+V48+Y48))</f>
        <v/>
      </c>
      <c r="AC48" s="355" t="str">
        <f>HF120</f>
        <v/>
      </c>
      <c r="AD48" s="329"/>
      <c r="AE48" s="328" t="str">
        <f>IF(D48="","",(IF('Tabulka finále'!$BK$47=1,(IF('Tabulka finále'!$K$56="","",(IF($AC$5="","",(IF($H$5="","",(FW158))))))),"")))</f>
        <v/>
      </c>
      <c r="AG48" s="252">
        <v>9</v>
      </c>
      <c r="AH48" s="138" t="str">
        <f t="shared" si="209"/>
        <v/>
      </c>
      <c r="AI48" s="177"/>
      <c r="AJ48" s="36" t="str">
        <f t="shared" ref="AJ48:AJ55" si="364">IF($K$5="","",(IF(EB48="",(IF(AH48="","",(IF(CX48=$BQ$2,$BQ$2,IF((AI48)="","",AI48))))),EB48)))</f>
        <v/>
      </c>
      <c r="AK48" s="149" t="str">
        <f t="shared" ref="AK48:AK55" si="365">IF($K$5="","",(DM48))</f>
        <v/>
      </c>
      <c r="AM48" s="138" t="str">
        <f t="shared" si="354"/>
        <v/>
      </c>
      <c r="AN48" s="177"/>
      <c r="AO48" s="36" t="str">
        <f t="shared" si="189"/>
        <v/>
      </c>
      <c r="AP48" s="149" t="str">
        <f t="shared" si="211"/>
        <v/>
      </c>
      <c r="AR48" s="138" t="str">
        <f t="shared" si="212"/>
        <v/>
      </c>
      <c r="AS48" s="177"/>
      <c r="AT48" s="36" t="str">
        <f t="shared" si="213"/>
        <v/>
      </c>
      <c r="AU48" s="149" t="str">
        <f t="shared" si="355"/>
        <v/>
      </c>
      <c r="AW48" s="138" t="str">
        <f t="shared" si="214"/>
        <v/>
      </c>
      <c r="AX48" s="177"/>
      <c r="AY48" s="36" t="str">
        <f t="shared" si="215"/>
        <v/>
      </c>
      <c r="AZ48" s="149" t="str">
        <f t="shared" si="190"/>
        <v/>
      </c>
      <c r="BB48" s="138" t="str">
        <f t="shared" si="358"/>
        <v/>
      </c>
      <c r="BC48" s="177"/>
      <c r="BD48" s="36" t="str">
        <f t="shared" si="216"/>
        <v/>
      </c>
      <c r="BE48" s="149" t="str">
        <f t="shared" si="217"/>
        <v/>
      </c>
      <c r="BG48" s="36">
        <f>IF(A48="",0,1)</f>
        <v>0</v>
      </c>
      <c r="BH48" s="36" t="str">
        <f>(IF(F48="","",(IF(F48&lt;2,1,0))))</f>
        <v/>
      </c>
      <c r="BI48" s="36" t="str">
        <f>(IF(I48="","",(IF(I48&lt;2,1,0))))</f>
        <v/>
      </c>
      <c r="BJ48" s="36" t="str">
        <f>(IF(L48="","",(IF(L48&lt;2,1,0))))</f>
        <v/>
      </c>
      <c r="BK48" s="36" t="str">
        <f>(IF(O48="","",(IF(O48&lt;2,1,0))))</f>
        <v/>
      </c>
      <c r="BL48" s="36" t="str">
        <f>IF(R48="","",(IF(R48&lt;2,1,0)))</f>
        <v/>
      </c>
      <c r="BM48" s="36" t="str">
        <f>IF(U48="","",(IF(U48&lt;2,1,0)))</f>
        <v/>
      </c>
      <c r="BN48" s="36" t="str">
        <f>IF(X48="","",(IF(X48&lt;2,1,0)))</f>
        <v/>
      </c>
      <c r="BP48" s="36" t="str">
        <f>IF(BG48=0,"",(SUM(BH48:BN48)))</f>
        <v/>
      </c>
      <c r="BR48" s="36" t="str">
        <f>BP56</f>
        <v/>
      </c>
      <c r="BS48" s="36" t="str">
        <f>D56</f>
        <v/>
      </c>
      <c r="BT48" s="122" t="str">
        <f>IF(SUM(BH56,BI56)=2,$BH$2,"")</f>
        <v/>
      </c>
      <c r="BV48" s="36">
        <f t="shared" si="191"/>
        <v>999</v>
      </c>
      <c r="BW48" s="36">
        <f t="shared" si="192"/>
        <v>999</v>
      </c>
      <c r="BX48" s="36">
        <f t="shared" si="344"/>
        <v>9</v>
      </c>
      <c r="BY48" s="36">
        <f t="shared" si="218"/>
        <v>999</v>
      </c>
      <c r="CB48" s="122">
        <v>9</v>
      </c>
      <c r="CC48" s="36">
        <f>IF((D56)="",0,D56)</f>
        <v>0</v>
      </c>
      <c r="CD48" s="36">
        <f t="shared" si="219"/>
        <v>0</v>
      </c>
      <c r="CE48" s="36">
        <f t="shared" si="220"/>
        <v>0</v>
      </c>
      <c r="CH48" s="36">
        <f t="shared" si="345"/>
        <v>0</v>
      </c>
      <c r="CI48" s="36">
        <f t="shared" si="221"/>
        <v>0</v>
      </c>
      <c r="CJ48" s="36">
        <f t="shared" si="222"/>
        <v>0</v>
      </c>
      <c r="CM48" s="36">
        <f t="shared" si="346"/>
        <v>0</v>
      </c>
      <c r="CO48" s="36">
        <f t="shared" si="223"/>
        <v>0</v>
      </c>
      <c r="CP48" s="36" t="str">
        <f t="shared" si="224"/>
        <v/>
      </c>
      <c r="CQ48" s="36">
        <f t="shared" si="225"/>
        <v>999</v>
      </c>
      <c r="CR48" s="36">
        <f t="shared" si="226"/>
        <v>9</v>
      </c>
      <c r="CS48" s="36">
        <f t="shared" si="227"/>
        <v>10</v>
      </c>
      <c r="CT48" s="36">
        <f t="shared" si="193"/>
        <v>999</v>
      </c>
      <c r="CU48" s="36" t="str">
        <f t="shared" si="228"/>
        <v/>
      </c>
      <c r="CV48" s="36">
        <f t="shared" si="229"/>
        <v>0</v>
      </c>
      <c r="CW48" s="36">
        <f t="shared" si="230"/>
        <v>0</v>
      </c>
      <c r="CX48" s="149" t="str">
        <f t="shared" si="231"/>
        <v/>
      </c>
      <c r="DA48" s="36" t="str">
        <f>D56</f>
        <v/>
      </c>
      <c r="DB48" s="36" t="str">
        <f>E56</f>
        <v/>
      </c>
      <c r="DC48" s="36" t="str">
        <f>H56</f>
        <v/>
      </c>
      <c r="DD48" s="36" t="str">
        <f t="shared" si="232"/>
        <v/>
      </c>
      <c r="DF48" s="36" t="str">
        <f t="shared" si="233"/>
        <v/>
      </c>
      <c r="DG48" s="36" t="str">
        <f t="shared" si="234"/>
        <v/>
      </c>
      <c r="DH48" s="36" t="str">
        <f t="shared" si="235"/>
        <v/>
      </c>
      <c r="DI48" s="36" t="str">
        <f t="shared" si="194"/>
        <v/>
      </c>
      <c r="DJ48" s="36" t="str">
        <f t="shared" si="236"/>
        <v/>
      </c>
      <c r="DL48" s="36" t="str">
        <f t="shared" si="195"/>
        <v/>
      </c>
      <c r="DM48" s="149" t="str">
        <f t="shared" si="237"/>
        <v/>
      </c>
      <c r="DN48" s="36" t="str">
        <f t="shared" si="238"/>
        <v/>
      </c>
      <c r="DO48" s="36" t="str">
        <f t="shared" si="239"/>
        <v/>
      </c>
      <c r="DP48" s="36" t="str">
        <f t="shared" si="240"/>
        <v/>
      </c>
      <c r="DR48" s="36" t="str">
        <f t="shared" si="241"/>
        <v/>
      </c>
      <c r="DS48" s="36" t="str">
        <f t="shared" si="242"/>
        <v/>
      </c>
      <c r="DT48" s="36" t="str">
        <f t="shared" si="243"/>
        <v/>
      </c>
      <c r="DV48" s="36" t="str">
        <f>DT44</f>
        <v/>
      </c>
      <c r="DX48" s="152" t="str">
        <f t="shared" si="244"/>
        <v/>
      </c>
      <c r="DY48" s="36" t="str">
        <f t="shared" si="245"/>
        <v/>
      </c>
      <c r="DZ48" s="36" t="str">
        <f t="shared" si="246"/>
        <v/>
      </c>
      <c r="EA48" s="36" t="str">
        <f t="shared" si="247"/>
        <v/>
      </c>
      <c r="EB48" s="173" t="str">
        <f t="shared" si="248"/>
        <v/>
      </c>
      <c r="EC48" s="36" t="str">
        <f>D56</f>
        <v/>
      </c>
      <c r="ED48" s="122">
        <v>9</v>
      </c>
      <c r="EE48" s="36" t="str">
        <f t="shared" si="249"/>
        <v/>
      </c>
      <c r="EF48" s="36">
        <f t="shared" si="250"/>
        <v>0</v>
      </c>
      <c r="EG48" s="36" t="str">
        <f>IF(SUM($BH$56:$BJ$56)=2,$BH$2,"")</f>
        <v/>
      </c>
      <c r="EH48" s="36" t="str">
        <f>IF(EE48="","",(INDEX(EG40:EG55,EE48-$CO$39)))</f>
        <v/>
      </c>
      <c r="EJ48" s="36">
        <f t="shared" si="251"/>
        <v>999</v>
      </c>
      <c r="EK48" s="36">
        <f>SMALL(EJ40:EJ55,ED48)</f>
        <v>999</v>
      </c>
      <c r="EL48" s="36" t="str">
        <f t="shared" si="356"/>
        <v/>
      </c>
      <c r="EM48" s="36">
        <f t="shared" si="252"/>
        <v>1</v>
      </c>
      <c r="EN48" s="36">
        <f t="shared" si="253"/>
        <v>0</v>
      </c>
      <c r="EQ48" s="36" t="str">
        <f t="shared" si="359"/>
        <v/>
      </c>
      <c r="ER48" s="36">
        <f t="shared" si="254"/>
        <v>0</v>
      </c>
      <c r="ES48" s="36">
        <f t="shared" si="255"/>
        <v>0</v>
      </c>
      <c r="ET48" s="149" t="str">
        <f t="shared" si="256"/>
        <v/>
      </c>
      <c r="EV48" s="36" t="str">
        <f>D56</f>
        <v/>
      </c>
      <c r="EW48" s="36" t="str">
        <f>E56</f>
        <v/>
      </c>
      <c r="EX48" s="36" t="str">
        <f>H56</f>
        <v/>
      </c>
      <c r="EY48" s="36" t="str">
        <f>K56</f>
        <v/>
      </c>
      <c r="EZ48" s="36" t="str">
        <f t="shared" si="257"/>
        <v/>
      </c>
      <c r="FB48" s="36" t="str">
        <f t="shared" si="258"/>
        <v/>
      </c>
      <c r="FC48" s="36" t="str">
        <f t="shared" si="259"/>
        <v/>
      </c>
      <c r="FD48" s="36" t="str">
        <f t="shared" si="196"/>
        <v/>
      </c>
      <c r="FE48" s="36" t="str">
        <f t="shared" si="197"/>
        <v/>
      </c>
      <c r="FF48" s="36" t="str">
        <f t="shared" si="198"/>
        <v/>
      </c>
      <c r="FG48" s="36" t="str">
        <f t="shared" si="199"/>
        <v/>
      </c>
      <c r="FI48" s="36" t="str">
        <f t="shared" si="260"/>
        <v/>
      </c>
      <c r="FL48" s="36" t="str">
        <f t="shared" si="261"/>
        <v/>
      </c>
      <c r="FM48" s="36" t="str">
        <f t="shared" si="347"/>
        <v/>
      </c>
      <c r="FN48" s="36" t="str">
        <f t="shared" si="262"/>
        <v/>
      </c>
      <c r="FO48" s="36" t="str">
        <f t="shared" si="263"/>
        <v/>
      </c>
      <c r="FP48" s="36" t="str">
        <f>IF(FN48="","",(IF(FO48="",(IF(FN48=FO40,FN40,IF(FN48=FO41,FN41,IF(FN48=FO42,FN42,IF(FN48=FO43,FN43,IF(FN48=FO44,FN44,IF(FN48=FO45,FN45,IF(FN48=FO46,FN46,IF(FN48=FO47,FN47,""))))))))),FO48)))</f>
        <v/>
      </c>
      <c r="FQ48" s="36" t="str">
        <f>IF(FN48="","",(IF(FN48=FO48,FN48,IF(FN48=FO49,FN49,IF(FN48=FO50,FN50,IF(FN48=FO51,FN51,IF(FN48=FO52,FN52,IF(FN48=FO53,FN53,IF(FN48=FO54,FN54,IF(FN48=FO55,FN55,""))))))))))</f>
        <v/>
      </c>
      <c r="FR48" s="173" t="str">
        <f t="shared" si="264"/>
        <v/>
      </c>
      <c r="FT48" s="36">
        <f t="shared" si="348"/>
        <v>12</v>
      </c>
      <c r="FV48" s="36" t="str">
        <f t="shared" si="265"/>
        <v/>
      </c>
      <c r="FW48" s="36" t="str">
        <f>IF(FT48=FN48,FR48,IF(FT48=FN49,FR49,IF(FT48=FN50,FR50,IF(FT48=FN51,FR51,IF(FT48=FN52,FR52,IF(FT48=FN53,FR53,IF(FT48=FN54,FR54,IF(FT48=FN55,FR55,""))))))))</f>
        <v/>
      </c>
      <c r="FX48" s="36" t="str">
        <f t="shared" si="266"/>
        <v/>
      </c>
      <c r="FZ48" s="36" t="str">
        <f>FX44</f>
        <v/>
      </c>
      <c r="GA48" s="152"/>
      <c r="GB48" s="122">
        <v>9</v>
      </c>
      <c r="GC48" s="36" t="str">
        <f>IF(D56="","",D56)</f>
        <v/>
      </c>
      <c r="GD48" s="36" t="str">
        <f>IF(E56="","",E56)</f>
        <v/>
      </c>
      <c r="GE48" s="36" t="str">
        <f>IF(H56="","",H56)</f>
        <v/>
      </c>
      <c r="GF48" s="36" t="str">
        <f>IF(K56="","",K56)</f>
        <v/>
      </c>
      <c r="GG48" s="36" t="str">
        <f>IF(N56="","",N56)</f>
        <v/>
      </c>
      <c r="GH48" s="36" t="str">
        <f>IF(Q56="","",Q56)</f>
        <v/>
      </c>
      <c r="GI48" s="36" t="str">
        <f>IF(T56="","",T56)</f>
        <v/>
      </c>
      <c r="GJ48" s="36" t="str">
        <f>IF(W56="","",W56)</f>
        <v/>
      </c>
      <c r="GK48" s="36" t="str">
        <f>IF(C56="","",C56)</f>
        <v/>
      </c>
      <c r="GM48" s="36" t="str">
        <f>IF(F56="","",F56)</f>
        <v/>
      </c>
      <c r="GN48" s="36" t="str">
        <f>IF(I56="","",I56)</f>
        <v/>
      </c>
      <c r="GO48" s="36" t="str">
        <f>IF(L56="","",L56)</f>
        <v/>
      </c>
      <c r="GP48" s="36" t="str">
        <f>IF(O56="","",O56)</f>
        <v/>
      </c>
      <c r="GQ48" s="36" t="str">
        <f>IF(R56="","",R56)</f>
        <v/>
      </c>
      <c r="GR48" s="36" t="str">
        <f>IF(U56="","",U56)</f>
        <v/>
      </c>
      <c r="GS48" s="36" t="str">
        <f>IF(X56="","",X56)</f>
        <v/>
      </c>
      <c r="GU48" s="36" t="str">
        <f>IF(F57="","",F57)</f>
        <v/>
      </c>
      <c r="GV48" s="36" t="str">
        <f>IF(I57="","",I57)</f>
        <v/>
      </c>
      <c r="GW48" s="36" t="str">
        <f>IF(L57="","",L57)</f>
        <v/>
      </c>
      <c r="GX48" s="36" t="str">
        <f>IF(O57="","",O57)</f>
        <v/>
      </c>
      <c r="GY48" s="36" t="str">
        <f>IF(R57="","",R57)</f>
        <v/>
      </c>
      <c r="GZ48" s="36" t="str">
        <f>IF(U57="","",U57)</f>
        <v/>
      </c>
      <c r="HA48" s="153" t="str">
        <f>IF(X57="","",X57)</f>
        <v/>
      </c>
      <c r="HB48" s="183" t="str">
        <f>D56</f>
        <v/>
      </c>
      <c r="HC48" s="122">
        <v>9</v>
      </c>
      <c r="HD48" s="36" t="str">
        <f>IF(SUM($BH56:$BK56)&gt;=2,$BH$2,"")</f>
        <v/>
      </c>
      <c r="HE48" s="36" t="str">
        <f t="shared" si="267"/>
        <v/>
      </c>
      <c r="HF48" s="36" t="str">
        <f t="shared" si="200"/>
        <v/>
      </c>
      <c r="HG48" s="36" t="str">
        <f t="shared" si="201"/>
        <v/>
      </c>
      <c r="HH48" s="36" t="str">
        <f t="shared" si="202"/>
        <v/>
      </c>
      <c r="HI48" s="36" t="str">
        <f t="shared" si="203"/>
        <v/>
      </c>
      <c r="HK48" s="36" t="str">
        <f t="shared" si="360"/>
        <v/>
      </c>
      <c r="HM48" s="36">
        <f t="shared" si="268"/>
        <v>999</v>
      </c>
      <c r="HN48" s="36">
        <f t="shared" si="269"/>
        <v>999</v>
      </c>
      <c r="HO48" s="36" t="str">
        <f t="shared" si="204"/>
        <v/>
      </c>
      <c r="HQ48" s="36">
        <f t="shared" si="270"/>
        <v>1</v>
      </c>
      <c r="HR48" s="36">
        <f t="shared" si="271"/>
        <v>0</v>
      </c>
      <c r="HS48" s="36" t="str">
        <f t="shared" si="349"/>
        <v/>
      </c>
      <c r="HT48" s="36">
        <f t="shared" si="272"/>
        <v>0</v>
      </c>
      <c r="HU48" s="36" t="str">
        <f t="shared" si="273"/>
        <v/>
      </c>
      <c r="HV48" s="138"/>
      <c r="HW48" s="36" t="str">
        <f t="shared" si="274"/>
        <v/>
      </c>
      <c r="HX48" s="36" t="str">
        <f t="shared" si="275"/>
        <v/>
      </c>
      <c r="HY48" s="36" t="str">
        <f t="shared" si="276"/>
        <v/>
      </c>
      <c r="HZ48" s="36" t="str">
        <f t="shared" si="277"/>
        <v/>
      </c>
      <c r="IA48" s="36" t="str">
        <f t="shared" si="278"/>
        <v/>
      </c>
      <c r="IC48" s="36" t="str">
        <f t="shared" si="350"/>
        <v/>
      </c>
      <c r="ID48" s="36" t="str">
        <f t="shared" si="363"/>
        <v/>
      </c>
      <c r="IE48" s="36" t="str">
        <f t="shared" si="280"/>
        <v/>
      </c>
      <c r="IG48" s="36" t="str">
        <f t="shared" si="357"/>
        <v/>
      </c>
      <c r="IH48" s="149" t="str">
        <f t="shared" si="282"/>
        <v/>
      </c>
      <c r="II48" s="138"/>
      <c r="IJ48" s="36" t="str">
        <f t="shared" si="283"/>
        <v/>
      </c>
      <c r="IL48" s="36" t="str">
        <f t="shared" si="284"/>
        <v/>
      </c>
      <c r="IM48" s="36" t="str">
        <f t="shared" si="285"/>
        <v/>
      </c>
      <c r="IN48" s="36" t="str">
        <f t="shared" si="286"/>
        <v/>
      </c>
      <c r="IO48" s="36" t="str">
        <f t="shared" si="287"/>
        <v/>
      </c>
      <c r="IP48" s="36" t="str">
        <f>IN44</f>
        <v/>
      </c>
      <c r="IQ48" s="183" t="str">
        <f>D56</f>
        <v/>
      </c>
      <c r="IR48" s="122">
        <v>9</v>
      </c>
      <c r="IS48" s="36" t="str">
        <f>IF(SUM($BH56:$BL56)&gt;1,$BH$2,"")</f>
        <v/>
      </c>
      <c r="IT48" s="36" t="str">
        <f t="shared" si="288"/>
        <v/>
      </c>
      <c r="IU48" s="36" t="str">
        <f t="shared" si="289"/>
        <v/>
      </c>
      <c r="IV48" s="36" t="str">
        <f t="shared" si="290"/>
        <v/>
      </c>
      <c r="IW48" s="36" t="str">
        <f t="shared" si="291"/>
        <v/>
      </c>
      <c r="IX48" s="36" t="str">
        <f t="shared" si="292"/>
        <v/>
      </c>
      <c r="IY48" s="36" t="str">
        <f t="shared" si="293"/>
        <v/>
      </c>
      <c r="IZ48" s="36" t="str">
        <f t="shared" si="294"/>
        <v/>
      </c>
      <c r="JB48" s="36">
        <f t="shared" si="295"/>
        <v>999</v>
      </c>
      <c r="JC48" s="36">
        <f t="shared" si="296"/>
        <v>999</v>
      </c>
      <c r="JD48" s="36" t="str">
        <f t="shared" si="205"/>
        <v/>
      </c>
      <c r="JF48" s="36">
        <f t="shared" si="297"/>
        <v>1</v>
      </c>
      <c r="JG48" s="36">
        <f t="shared" si="298"/>
        <v>0</v>
      </c>
      <c r="JH48" s="36" t="str">
        <f t="shared" si="299"/>
        <v/>
      </c>
      <c r="JI48" s="36">
        <f t="shared" si="300"/>
        <v>0</v>
      </c>
      <c r="JJ48" s="149" t="str">
        <f t="shared" si="361"/>
        <v/>
      </c>
      <c r="JL48" s="36" t="str">
        <f t="shared" si="301"/>
        <v/>
      </c>
      <c r="JM48" s="36" t="str">
        <f t="shared" si="351"/>
        <v/>
      </c>
      <c r="JN48" s="36" t="str">
        <f t="shared" si="302"/>
        <v/>
      </c>
      <c r="JO48" s="36" t="str">
        <f t="shared" si="303"/>
        <v/>
      </c>
      <c r="JP48" s="36" t="str">
        <f t="shared" si="304"/>
        <v/>
      </c>
      <c r="JQ48" s="36" t="str">
        <f t="shared" si="305"/>
        <v/>
      </c>
      <c r="JS48" s="36" t="str">
        <f t="shared" si="306"/>
        <v/>
      </c>
      <c r="JT48" s="36" t="str">
        <f t="shared" si="307"/>
        <v/>
      </c>
      <c r="JU48" s="36" t="str">
        <f t="shared" si="308"/>
        <v/>
      </c>
      <c r="JV48" s="36" t="str">
        <f t="shared" si="309"/>
        <v/>
      </c>
      <c r="JW48" s="36" t="str">
        <f t="shared" si="310"/>
        <v/>
      </c>
      <c r="JX48" s="149" t="str">
        <f t="shared" si="311"/>
        <v/>
      </c>
      <c r="JY48" s="138"/>
      <c r="JZ48" s="36" t="str">
        <f t="shared" si="312"/>
        <v/>
      </c>
      <c r="KB48" s="36" t="str">
        <f t="shared" si="313"/>
        <v/>
      </c>
      <c r="KC48" s="36" t="str">
        <f t="shared" si="314"/>
        <v/>
      </c>
      <c r="KD48" s="36" t="str">
        <f t="shared" si="315"/>
        <v/>
      </c>
      <c r="KF48" s="36" t="str">
        <f>KD44</f>
        <v/>
      </c>
      <c r="KG48" s="183" t="str">
        <f>D56</f>
        <v/>
      </c>
      <c r="KH48" s="122">
        <v>9</v>
      </c>
      <c r="KI48" s="36" t="str">
        <f>IF(SUM($BH56:$BM56)&gt;1,$BH$2,"")</f>
        <v/>
      </c>
      <c r="KJ48" s="36" t="str">
        <f t="shared" si="316"/>
        <v/>
      </c>
      <c r="KK48" s="36" t="str">
        <f t="shared" si="317"/>
        <v/>
      </c>
      <c r="KL48" s="36" t="str">
        <f t="shared" si="318"/>
        <v/>
      </c>
      <c r="KM48" s="36" t="str">
        <f t="shared" si="319"/>
        <v/>
      </c>
      <c r="KN48" s="36" t="str">
        <f t="shared" si="320"/>
        <v/>
      </c>
      <c r="KO48" s="36" t="str">
        <f t="shared" si="321"/>
        <v/>
      </c>
      <c r="KP48" s="36" t="str">
        <f t="shared" si="322"/>
        <v/>
      </c>
      <c r="KQ48" s="36" t="str">
        <f t="shared" si="323"/>
        <v/>
      </c>
      <c r="KS48" s="36">
        <f t="shared" si="324"/>
        <v>999</v>
      </c>
      <c r="KT48" s="36">
        <f t="shared" si="325"/>
        <v>999</v>
      </c>
      <c r="KU48" s="36" t="str">
        <f t="shared" si="206"/>
        <v/>
      </c>
      <c r="KW48" s="36">
        <f t="shared" si="326"/>
        <v>1</v>
      </c>
      <c r="KX48" s="36">
        <f t="shared" si="327"/>
        <v>0</v>
      </c>
      <c r="KY48" s="36" t="str">
        <f t="shared" si="352"/>
        <v/>
      </c>
      <c r="KZ48" s="36">
        <f t="shared" si="328"/>
        <v>0</v>
      </c>
      <c r="LA48" s="149" t="str">
        <f t="shared" si="329"/>
        <v/>
      </c>
      <c r="LC48" s="36" t="str">
        <f t="shared" si="330"/>
        <v/>
      </c>
      <c r="LD48" s="36" t="str">
        <f t="shared" si="331"/>
        <v/>
      </c>
      <c r="LE48" s="36" t="str">
        <f t="shared" si="332"/>
        <v/>
      </c>
      <c r="LF48" s="36" t="str">
        <f t="shared" si="333"/>
        <v/>
      </c>
      <c r="LG48" s="36" t="str">
        <f t="shared" si="334"/>
        <v/>
      </c>
      <c r="LH48" s="36" t="str">
        <f t="shared" si="335"/>
        <v/>
      </c>
      <c r="LI48" s="36" t="str">
        <f t="shared" si="336"/>
        <v/>
      </c>
      <c r="LJ48" s="36" t="str">
        <f t="shared" si="337"/>
        <v/>
      </c>
      <c r="LK48" s="36" t="str">
        <f t="shared" si="362"/>
        <v/>
      </c>
      <c r="LL48" s="36" t="str">
        <f t="shared" si="338"/>
        <v/>
      </c>
      <c r="LM48" s="36" t="str">
        <f t="shared" si="339"/>
        <v/>
      </c>
      <c r="LN48" s="36" t="str">
        <f t="shared" si="340"/>
        <v/>
      </c>
      <c r="LO48" s="149" t="str">
        <f t="shared" si="341"/>
        <v/>
      </c>
      <c r="LP48" s="138"/>
      <c r="LQ48" s="36" t="str">
        <f t="shared" si="342"/>
        <v/>
      </c>
      <c r="LS48" s="36" t="str">
        <f t="shared" si="353"/>
        <v/>
      </c>
      <c r="LT48" s="36" t="str">
        <f t="shared" si="343"/>
        <v/>
      </c>
      <c r="LU48" s="36" t="str">
        <f t="shared" si="208"/>
        <v/>
      </c>
      <c r="LW48" s="153" t="str">
        <f>LU44</f>
        <v/>
      </c>
      <c r="LX48" s="152"/>
    </row>
    <row r="49" spans="1:336" ht="14.25" customHeight="1" thickBot="1" x14ac:dyDescent="0.3">
      <c r="A49" s="375"/>
      <c r="B49" s="374"/>
      <c r="C49" s="363"/>
      <c r="D49" s="362"/>
      <c r="E49" s="346"/>
      <c r="F49" s="29"/>
      <c r="G49" s="30"/>
      <c r="H49" s="346"/>
      <c r="I49" s="29"/>
      <c r="J49" s="30"/>
      <c r="K49" s="334"/>
      <c r="L49" s="29"/>
      <c r="M49" s="30"/>
      <c r="N49" s="334"/>
      <c r="O49" s="29"/>
      <c r="P49" s="30"/>
      <c r="Q49" s="334"/>
      <c r="R49" s="29"/>
      <c r="S49" s="30"/>
      <c r="T49" s="334"/>
      <c r="U49" s="29"/>
      <c r="V49" s="30"/>
      <c r="W49" s="337"/>
      <c r="X49" s="29"/>
      <c r="Y49" s="30"/>
      <c r="Z49" s="338"/>
      <c r="AA49" s="335"/>
      <c r="AB49" s="336"/>
      <c r="AC49" s="355"/>
      <c r="AD49" s="327"/>
      <c r="AE49" s="328"/>
      <c r="AG49" s="252">
        <v>10</v>
      </c>
      <c r="AH49" s="138" t="str">
        <f t="shared" si="209"/>
        <v/>
      </c>
      <c r="AI49" s="177"/>
      <c r="AJ49" s="36" t="str">
        <f t="shared" si="364"/>
        <v/>
      </c>
      <c r="AK49" s="149" t="str">
        <f t="shared" si="365"/>
        <v/>
      </c>
      <c r="AM49" s="138" t="str">
        <f t="shared" si="354"/>
        <v/>
      </c>
      <c r="AN49" s="177"/>
      <c r="AO49" s="36" t="str">
        <f t="shared" si="189"/>
        <v/>
      </c>
      <c r="AP49" s="149" t="str">
        <f t="shared" si="211"/>
        <v/>
      </c>
      <c r="AR49" s="138" t="str">
        <f t="shared" si="212"/>
        <v/>
      </c>
      <c r="AS49" s="177"/>
      <c r="AT49" s="36" t="str">
        <f t="shared" si="213"/>
        <v/>
      </c>
      <c r="AU49" s="149" t="str">
        <f t="shared" si="355"/>
        <v/>
      </c>
      <c r="AW49" s="138" t="str">
        <f t="shared" si="214"/>
        <v/>
      </c>
      <c r="AX49" s="177"/>
      <c r="AY49" s="36" t="str">
        <f t="shared" si="215"/>
        <v/>
      </c>
      <c r="AZ49" s="149" t="str">
        <f t="shared" si="190"/>
        <v/>
      </c>
      <c r="BB49" s="138" t="str">
        <f t="shared" si="358"/>
        <v/>
      </c>
      <c r="BC49" s="177"/>
      <c r="BD49" s="36" t="str">
        <f t="shared" si="216"/>
        <v/>
      </c>
      <c r="BE49" s="149" t="str">
        <f t="shared" si="217"/>
        <v/>
      </c>
      <c r="BH49" s="36" t="str">
        <f>IF(E49=$BQ$2,"",(IF(A49="","",(IF(F49="","",(IF(F49&lt;2,1,0)))))))</f>
        <v/>
      </c>
      <c r="BI49" s="36" t="str">
        <f>IF(H49=$BQ$2,"",(IF(A49="","",(IF(I49="","",(IF(I49&lt;2,1,0)))))))</f>
        <v/>
      </c>
      <c r="BJ49" s="36" t="str">
        <f>IF(K49=$BQ$2,"",(IF(A49="","",(IF(L49="","",(IF(L49&lt;2,1,0)))))))</f>
        <v/>
      </c>
      <c r="BK49" s="36" t="str">
        <f>IF(W49=$BQ$2,"",(IF(A49="","",(IF(X49="","",(IF(X49&lt;2,1,0)))))))</f>
        <v/>
      </c>
      <c r="BP49" s="36" t="str">
        <f>IF(BH49="","",(SUM(BH49:BK49)))</f>
        <v/>
      </c>
      <c r="BR49" s="36" t="str">
        <f>BP58</f>
        <v/>
      </c>
      <c r="BS49" s="36" t="str">
        <f>D58</f>
        <v/>
      </c>
      <c r="BT49" s="122" t="str">
        <f>IF(SUM(BH58,BI58)=2,$BH$2,"")</f>
        <v/>
      </c>
      <c r="BV49" s="36">
        <f t="shared" si="191"/>
        <v>999</v>
      </c>
      <c r="BW49" s="36">
        <f t="shared" si="192"/>
        <v>999</v>
      </c>
      <c r="BX49" s="36">
        <f t="shared" si="344"/>
        <v>10</v>
      </c>
      <c r="BY49" s="36">
        <f t="shared" si="218"/>
        <v>999</v>
      </c>
      <c r="CB49" s="122">
        <v>10</v>
      </c>
      <c r="CC49" s="36">
        <f>IF((D58)="",0,D58)</f>
        <v>0</v>
      </c>
      <c r="CD49" s="36">
        <f t="shared" si="219"/>
        <v>0</v>
      </c>
      <c r="CE49" s="36">
        <f t="shared" si="220"/>
        <v>0</v>
      </c>
      <c r="CH49" s="36">
        <f t="shared" si="345"/>
        <v>0</v>
      </c>
      <c r="CI49" s="36">
        <f t="shared" si="221"/>
        <v>0</v>
      </c>
      <c r="CJ49" s="36">
        <f t="shared" si="222"/>
        <v>0</v>
      </c>
      <c r="CM49" s="36">
        <f t="shared" si="346"/>
        <v>0</v>
      </c>
      <c r="CO49" s="36">
        <f t="shared" si="223"/>
        <v>0</v>
      </c>
      <c r="CP49" s="36" t="str">
        <f t="shared" si="224"/>
        <v/>
      </c>
      <c r="CQ49" s="36">
        <f t="shared" si="225"/>
        <v>999</v>
      </c>
      <c r="CR49" s="36">
        <f t="shared" si="226"/>
        <v>10</v>
      </c>
      <c r="CS49" s="36">
        <f t="shared" si="227"/>
        <v>11</v>
      </c>
      <c r="CT49" s="36">
        <f t="shared" si="193"/>
        <v>999</v>
      </c>
      <c r="CU49" s="36" t="str">
        <f t="shared" si="228"/>
        <v/>
      </c>
      <c r="CV49" s="36">
        <f t="shared" si="229"/>
        <v>0</v>
      </c>
      <c r="CW49" s="36">
        <f t="shared" si="230"/>
        <v>0</v>
      </c>
      <c r="CX49" s="149" t="str">
        <f t="shared" si="231"/>
        <v/>
      </c>
      <c r="DA49" s="36" t="str">
        <f>D58</f>
        <v/>
      </c>
      <c r="DB49" s="36" t="str">
        <f>E58</f>
        <v/>
      </c>
      <c r="DC49" s="36" t="str">
        <f>H58</f>
        <v/>
      </c>
      <c r="DD49" s="36" t="str">
        <f t="shared" si="232"/>
        <v/>
      </c>
      <c r="DF49" s="36" t="str">
        <f t="shared" si="233"/>
        <v/>
      </c>
      <c r="DG49" s="36" t="str">
        <f t="shared" si="234"/>
        <v/>
      </c>
      <c r="DH49" s="36" t="str">
        <f t="shared" si="235"/>
        <v/>
      </c>
      <c r="DI49" s="36" t="str">
        <f t="shared" si="194"/>
        <v/>
      </c>
      <c r="DJ49" s="36" t="str">
        <f t="shared" si="236"/>
        <v/>
      </c>
      <c r="DL49" s="36" t="str">
        <f t="shared" si="195"/>
        <v/>
      </c>
      <c r="DM49" s="149" t="str">
        <f t="shared" si="237"/>
        <v/>
      </c>
      <c r="DN49" s="36" t="str">
        <f t="shared" si="238"/>
        <v/>
      </c>
      <c r="DO49" s="36" t="str">
        <f t="shared" si="239"/>
        <v/>
      </c>
      <c r="DP49" s="36" t="str">
        <f t="shared" si="240"/>
        <v/>
      </c>
      <c r="DR49" s="36" t="str">
        <f t="shared" si="241"/>
        <v/>
      </c>
      <c r="DS49" s="36" t="str">
        <f t="shared" si="242"/>
        <v/>
      </c>
      <c r="DT49" s="36" t="str">
        <f t="shared" si="243"/>
        <v/>
      </c>
      <c r="DX49" s="152" t="str">
        <f t="shared" si="244"/>
        <v/>
      </c>
      <c r="DY49" s="36" t="str">
        <f t="shared" si="245"/>
        <v/>
      </c>
      <c r="DZ49" s="36" t="str">
        <f t="shared" si="246"/>
        <v/>
      </c>
      <c r="EA49" s="36" t="str">
        <f t="shared" si="247"/>
        <v/>
      </c>
      <c r="EB49" s="173" t="str">
        <f t="shared" si="248"/>
        <v/>
      </c>
      <c r="EC49" s="36" t="str">
        <f>D58</f>
        <v/>
      </c>
      <c r="ED49" s="122">
        <v>10</v>
      </c>
      <c r="EE49" s="36" t="str">
        <f t="shared" si="249"/>
        <v/>
      </c>
      <c r="EF49" s="36">
        <f t="shared" si="250"/>
        <v>0</v>
      </c>
      <c r="EG49" s="36" t="str">
        <f>IF(SUM($BH$58:$BJ$58)=2,$BH$2,"")</f>
        <v/>
      </c>
      <c r="EH49" s="36" t="str">
        <f>IF(EE49="","",(INDEX(EG40:EG55,EE49-$CO$39)))</f>
        <v/>
      </c>
      <c r="EJ49" s="36">
        <f t="shared" si="251"/>
        <v>999</v>
      </c>
      <c r="EK49" s="36">
        <f>SMALL(EJ40:EJ55,ED49)</f>
        <v>999</v>
      </c>
      <c r="EL49" s="36" t="str">
        <f t="shared" si="356"/>
        <v/>
      </c>
      <c r="EM49" s="36">
        <f t="shared" si="252"/>
        <v>1</v>
      </c>
      <c r="EN49" s="36">
        <f t="shared" si="253"/>
        <v>0</v>
      </c>
      <c r="EQ49" s="36" t="str">
        <f t="shared" si="359"/>
        <v/>
      </c>
      <c r="ER49" s="36">
        <f t="shared" si="254"/>
        <v>0</v>
      </c>
      <c r="ES49" s="36">
        <f t="shared" si="255"/>
        <v>0</v>
      </c>
      <c r="ET49" s="149" t="str">
        <f t="shared" si="256"/>
        <v/>
      </c>
      <c r="EV49" s="36" t="str">
        <f>D58</f>
        <v/>
      </c>
      <c r="EW49" s="36" t="str">
        <f>E58</f>
        <v/>
      </c>
      <c r="EX49" s="36" t="str">
        <f>H58</f>
        <v/>
      </c>
      <c r="EY49" s="36" t="str">
        <f>K58</f>
        <v/>
      </c>
      <c r="EZ49" s="36" t="str">
        <f t="shared" si="257"/>
        <v/>
      </c>
      <c r="FB49" s="36" t="str">
        <f t="shared" si="258"/>
        <v/>
      </c>
      <c r="FC49" s="36" t="str">
        <f t="shared" si="259"/>
        <v/>
      </c>
      <c r="FD49" s="36" t="str">
        <f t="shared" si="196"/>
        <v/>
      </c>
      <c r="FE49" s="36" t="str">
        <f t="shared" si="197"/>
        <v/>
      </c>
      <c r="FF49" s="36" t="str">
        <f t="shared" si="198"/>
        <v/>
      </c>
      <c r="FG49" s="36" t="str">
        <f t="shared" si="199"/>
        <v/>
      </c>
      <c r="FI49" s="36" t="str">
        <f t="shared" si="260"/>
        <v/>
      </c>
      <c r="FL49" s="36" t="str">
        <f t="shared" si="261"/>
        <v/>
      </c>
      <c r="FM49" s="36" t="str">
        <f t="shared" si="347"/>
        <v/>
      </c>
      <c r="FN49" s="36" t="str">
        <f t="shared" si="262"/>
        <v/>
      </c>
      <c r="FO49" s="36" t="str">
        <f t="shared" si="263"/>
        <v/>
      </c>
      <c r="FP49" s="36" t="str">
        <f>IF(FN49="","",(IF(FO49="",(IF(FN49=FO40,FN40,IF(FN49=FO41,FN41,IF(FN49=FO42,FN42,IF(FN49=FO43,FN43,IF(FN49=FO44,FN44,IF(FN49=FO45,FN45,IF(FN49=FO46,FN46,IF(FN49=FO47,FN47,""))))))))),FO49)))</f>
        <v/>
      </c>
      <c r="FQ49" s="36" t="str">
        <f>IF(FN49="","",(IF(FN49=FO48,FN48,IF(FN49=FO49,FN49,IF(FN49=FO50,FN50,IF(FN49=FO51,FN51,IF(FN49=FO52,FN52,IF(FN49=FO53,FN53,IF(FN49=FO54,FN54,IF(FN49=FO55,FN55,""))))))))))</f>
        <v/>
      </c>
      <c r="FR49" s="173" t="str">
        <f t="shared" si="264"/>
        <v/>
      </c>
      <c r="FT49" s="36">
        <f t="shared" si="348"/>
        <v>13</v>
      </c>
      <c r="FV49" s="36" t="str">
        <f t="shared" si="265"/>
        <v/>
      </c>
      <c r="FW49" s="36" t="str">
        <f>IF(FT49=FN48,FR48,IF(FT49=FN49,FR49,IF(FT49=FN50,FR50,IF(FT49=FN51,FR51,IF(FT49=FN52,FR52,IF(FT49=FN53,FR53,IF(FT49=FN54,FR54,IF(FT49=FN55,FR55,""))))))))</f>
        <v/>
      </c>
      <c r="FX49" s="36" t="str">
        <f t="shared" si="266"/>
        <v/>
      </c>
      <c r="GA49" s="152"/>
      <c r="GB49" s="122">
        <v>10</v>
      </c>
      <c r="GC49" s="36" t="str">
        <f>IF(D58="","",D58)</f>
        <v/>
      </c>
      <c r="GD49" s="36" t="str">
        <f>IF(E58="","",E58)</f>
        <v/>
      </c>
      <c r="GE49" s="36" t="str">
        <f>IF(H58="","",H58)</f>
        <v/>
      </c>
      <c r="GF49" s="36" t="str">
        <f>IF(K58="","",K58)</f>
        <v/>
      </c>
      <c r="GG49" s="36" t="str">
        <f>IF(N58="","",N58)</f>
        <v/>
      </c>
      <c r="GH49" s="36" t="str">
        <f>IF(Q58="","",Q58)</f>
        <v/>
      </c>
      <c r="GI49" s="36" t="str">
        <f>IF(T58="","",T58)</f>
        <v/>
      </c>
      <c r="GJ49" s="36" t="str">
        <f>IF(W58="","",W58)</f>
        <v/>
      </c>
      <c r="GK49" s="36" t="str">
        <f>IF(C58="","",C58)</f>
        <v/>
      </c>
      <c r="GM49" s="36" t="str">
        <f>IF(F58="","",F58)</f>
        <v/>
      </c>
      <c r="GN49" s="36" t="str">
        <f>IF(I58="","",I58)</f>
        <v/>
      </c>
      <c r="GO49" s="36" t="str">
        <f>IF(L58="","",L58)</f>
        <v/>
      </c>
      <c r="GP49" s="36" t="str">
        <f>IF(O58="","",O58)</f>
        <v/>
      </c>
      <c r="GQ49" s="36" t="str">
        <f>IF(R58="","",R58)</f>
        <v/>
      </c>
      <c r="GR49" s="36" t="str">
        <f>IF(U58="","",U58)</f>
        <v/>
      </c>
      <c r="GS49" s="36" t="str">
        <f>IF(X58="","",X58)</f>
        <v/>
      </c>
      <c r="GU49" s="36" t="str">
        <f>IF(F59="","",F59)</f>
        <v/>
      </c>
      <c r="GV49" s="36" t="str">
        <f>IF(I59="","",I59)</f>
        <v/>
      </c>
      <c r="GW49" s="36" t="str">
        <f>IF(L59="","",L59)</f>
        <v/>
      </c>
      <c r="GX49" s="36" t="str">
        <f>IF(O59="","",O59)</f>
        <v/>
      </c>
      <c r="GY49" s="36" t="str">
        <f>IF(R59="","",R59)</f>
        <v/>
      </c>
      <c r="GZ49" s="36" t="str">
        <f>IF(U59="","",U59)</f>
        <v/>
      </c>
      <c r="HA49" s="153" t="str">
        <f>IF(X59="","",X59)</f>
        <v/>
      </c>
      <c r="HB49" s="183" t="str">
        <f>D58</f>
        <v/>
      </c>
      <c r="HC49" s="122">
        <v>10</v>
      </c>
      <c r="HD49" s="36" t="str">
        <f>IF(SUM($BH58:$BK58)&gt;=2,$BH$2,"")</f>
        <v/>
      </c>
      <c r="HE49" s="36" t="str">
        <f t="shared" si="267"/>
        <v/>
      </c>
      <c r="HF49" s="36" t="str">
        <f t="shared" si="200"/>
        <v/>
      </c>
      <c r="HG49" s="36" t="str">
        <f t="shared" si="201"/>
        <v/>
      </c>
      <c r="HH49" s="36" t="str">
        <f t="shared" si="202"/>
        <v/>
      </c>
      <c r="HI49" s="36" t="str">
        <f t="shared" si="203"/>
        <v/>
      </c>
      <c r="HK49" s="36" t="str">
        <f t="shared" si="360"/>
        <v/>
      </c>
      <c r="HM49" s="36">
        <f t="shared" si="268"/>
        <v>999</v>
      </c>
      <c r="HN49" s="36">
        <f t="shared" si="269"/>
        <v>999</v>
      </c>
      <c r="HO49" s="36" t="str">
        <f t="shared" si="204"/>
        <v/>
      </c>
      <c r="HQ49" s="36">
        <f t="shared" si="270"/>
        <v>1</v>
      </c>
      <c r="HR49" s="36">
        <f t="shared" si="271"/>
        <v>0</v>
      </c>
      <c r="HS49" s="36" t="str">
        <f t="shared" si="349"/>
        <v/>
      </c>
      <c r="HT49" s="36">
        <f t="shared" si="272"/>
        <v>0</v>
      </c>
      <c r="HU49" s="36" t="str">
        <f t="shared" si="273"/>
        <v/>
      </c>
      <c r="HV49" s="138"/>
      <c r="HW49" s="36" t="str">
        <f t="shared" si="274"/>
        <v/>
      </c>
      <c r="HX49" s="36" t="str">
        <f t="shared" si="275"/>
        <v/>
      </c>
      <c r="HY49" s="36" t="str">
        <f t="shared" si="276"/>
        <v/>
      </c>
      <c r="HZ49" s="36" t="str">
        <f t="shared" si="277"/>
        <v/>
      </c>
      <c r="IA49" s="36" t="str">
        <f t="shared" si="278"/>
        <v/>
      </c>
      <c r="IC49" s="36" t="str">
        <f t="shared" si="350"/>
        <v/>
      </c>
      <c r="ID49" s="36" t="str">
        <f t="shared" si="363"/>
        <v/>
      </c>
      <c r="IE49" s="36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H49" s="149" t="str">
        <f t="shared" si="282"/>
        <v/>
      </c>
      <c r="II49" s="138"/>
      <c r="IJ49" s="36" t="str">
        <f t="shared" si="283"/>
        <v/>
      </c>
      <c r="IL49" s="36" t="str">
        <f t="shared" si="284"/>
        <v/>
      </c>
      <c r="IM49" s="36" t="str">
        <f>IF(HU49="",IF(HS49="","",HS49),HU49)</f>
        <v/>
      </c>
      <c r="IN49" s="36" t="str">
        <f t="shared" si="286"/>
        <v/>
      </c>
      <c r="IO49" s="36" t="str">
        <f t="shared" si="287"/>
        <v/>
      </c>
      <c r="IQ49" s="183" t="str">
        <f>D58</f>
        <v/>
      </c>
      <c r="IR49" s="122">
        <v>10</v>
      </c>
      <c r="IS49" s="36" t="str">
        <f>IF(SUM($BH58:$BL58)&gt;1,$BH$2,"")</f>
        <v/>
      </c>
      <c r="IT49" s="36" t="str">
        <f t="shared" si="288"/>
        <v/>
      </c>
      <c r="IU49" s="36" t="str">
        <f t="shared" si="289"/>
        <v/>
      </c>
      <c r="IV49" s="36" t="str">
        <f t="shared" si="290"/>
        <v/>
      </c>
      <c r="IW49" s="36" t="str">
        <f t="shared" si="291"/>
        <v/>
      </c>
      <c r="IX49" s="36" t="str">
        <f t="shared" si="292"/>
        <v/>
      </c>
      <c r="IY49" s="36" t="str">
        <f t="shared" si="293"/>
        <v/>
      </c>
      <c r="IZ49" s="36" t="str">
        <f t="shared" si="294"/>
        <v/>
      </c>
      <c r="JB49" s="36">
        <f t="shared" si="295"/>
        <v>999</v>
      </c>
      <c r="JC49" s="36">
        <f t="shared" si="296"/>
        <v>999</v>
      </c>
      <c r="JD49" s="36" t="str">
        <f t="shared" si="205"/>
        <v/>
      </c>
      <c r="JF49" s="36">
        <f t="shared" si="297"/>
        <v>1</v>
      </c>
      <c r="JG49" s="36">
        <f t="shared" si="298"/>
        <v>0</v>
      </c>
      <c r="JH49" s="36" t="str">
        <f t="shared" si="299"/>
        <v/>
      </c>
      <c r="JI49" s="36">
        <f t="shared" si="300"/>
        <v>0</v>
      </c>
      <c r="JJ49" s="149" t="str">
        <f t="shared" si="361"/>
        <v/>
      </c>
      <c r="JL49" s="36" t="str">
        <f t="shared" si="301"/>
        <v/>
      </c>
      <c r="JM49" s="36" t="str">
        <f t="shared" si="351"/>
        <v/>
      </c>
      <c r="JN49" s="36" t="str">
        <f t="shared" si="302"/>
        <v/>
      </c>
      <c r="JO49" s="36" t="str">
        <f t="shared" si="303"/>
        <v/>
      </c>
      <c r="JP49" s="36" t="str">
        <f t="shared" si="304"/>
        <v/>
      </c>
      <c r="JQ49" s="36" t="str">
        <f t="shared" si="305"/>
        <v/>
      </c>
      <c r="JS49" s="36" t="str">
        <f t="shared" si="306"/>
        <v/>
      </c>
      <c r="JT49" s="36" t="str">
        <f t="shared" si="307"/>
        <v/>
      </c>
      <c r="JU49" s="36" t="str">
        <f t="shared" si="308"/>
        <v/>
      </c>
      <c r="JV49" s="36" t="str">
        <f t="shared" si="309"/>
        <v/>
      </c>
      <c r="JW49" s="36" t="str">
        <f t="shared" si="310"/>
        <v/>
      </c>
      <c r="JX49" s="149" t="str">
        <f t="shared" si="311"/>
        <v/>
      </c>
      <c r="JY49" s="138"/>
      <c r="JZ49" s="36" t="str">
        <f t="shared" si="312"/>
        <v/>
      </c>
      <c r="KB49" s="36" t="str">
        <f t="shared" si="313"/>
        <v/>
      </c>
      <c r="KC49" s="36" t="str">
        <f t="shared" si="314"/>
        <v/>
      </c>
      <c r="KD49" s="36" t="str">
        <f t="shared" si="315"/>
        <v/>
      </c>
      <c r="KG49" s="183" t="str">
        <f>D58</f>
        <v/>
      </c>
      <c r="KH49" s="122">
        <v>10</v>
      </c>
      <c r="KI49" s="36" t="str">
        <f>IF(SUM($BH58:$BM58)&gt;1,$BH$2,"")</f>
        <v/>
      </c>
      <c r="KJ49" s="36" t="str">
        <f t="shared" si="316"/>
        <v/>
      </c>
      <c r="KK49" s="36" t="str">
        <f t="shared" si="317"/>
        <v/>
      </c>
      <c r="KL49" s="36" t="str">
        <f t="shared" si="318"/>
        <v/>
      </c>
      <c r="KM49" s="36" t="str">
        <f t="shared" si="319"/>
        <v/>
      </c>
      <c r="KN49" s="36" t="str">
        <f t="shared" si="320"/>
        <v/>
      </c>
      <c r="KO49" s="36" t="str">
        <f t="shared" si="321"/>
        <v/>
      </c>
      <c r="KP49" s="36" t="str">
        <f t="shared" si="322"/>
        <v/>
      </c>
      <c r="KQ49" s="36" t="str">
        <f t="shared" si="323"/>
        <v/>
      </c>
      <c r="KS49" s="36">
        <f t="shared" si="324"/>
        <v>999</v>
      </c>
      <c r="KT49" s="36">
        <f t="shared" si="325"/>
        <v>999</v>
      </c>
      <c r="KU49" s="36" t="str">
        <f t="shared" si="206"/>
        <v/>
      </c>
      <c r="KW49" s="36">
        <f t="shared" si="326"/>
        <v>1</v>
      </c>
      <c r="KX49" s="36">
        <f t="shared" si="327"/>
        <v>0</v>
      </c>
      <c r="KY49" s="36" t="str">
        <f t="shared" si="352"/>
        <v/>
      </c>
      <c r="KZ49" s="36">
        <f t="shared" si="328"/>
        <v>0</v>
      </c>
      <c r="LA49" s="149" t="str">
        <f t="shared" si="329"/>
        <v/>
      </c>
      <c r="LC49" s="36" t="str">
        <f t="shared" si="330"/>
        <v/>
      </c>
      <c r="LD49" s="36" t="str">
        <f t="shared" si="331"/>
        <v/>
      </c>
      <c r="LE49" s="36" t="str">
        <f t="shared" si="332"/>
        <v/>
      </c>
      <c r="LF49" s="36" t="str">
        <f t="shared" si="333"/>
        <v/>
      </c>
      <c r="LG49" s="36" t="str">
        <f t="shared" si="334"/>
        <v/>
      </c>
      <c r="LH49" s="36" t="str">
        <f t="shared" si="335"/>
        <v/>
      </c>
      <c r="LI49" s="36" t="str">
        <f t="shared" si="336"/>
        <v/>
      </c>
      <c r="LJ49" s="36" t="str">
        <f t="shared" si="337"/>
        <v/>
      </c>
      <c r="LK49" s="36" t="str">
        <f t="shared" si="362"/>
        <v/>
      </c>
      <c r="LL49" s="36" t="str">
        <f t="shared" si="338"/>
        <v/>
      </c>
      <c r="LM49" s="36" t="str">
        <f t="shared" si="339"/>
        <v/>
      </c>
      <c r="LN49" s="36" t="str">
        <f t="shared" si="340"/>
        <v/>
      </c>
      <c r="LO49" s="149" t="str">
        <f t="shared" si="341"/>
        <v/>
      </c>
      <c r="LP49" s="138"/>
      <c r="LQ49" s="36" t="str">
        <f t="shared" si="342"/>
        <v/>
      </c>
      <c r="LS49" s="36" t="str">
        <f t="shared" si="353"/>
        <v/>
      </c>
      <c r="LT49" s="36" t="str">
        <f t="shared" si="343"/>
        <v/>
      </c>
      <c r="LU49" s="36" t="str">
        <f t="shared" si="208"/>
        <v/>
      </c>
      <c r="LW49" s="153"/>
      <c r="LX49" s="152"/>
    </row>
    <row r="50" spans="1:336" ht="14.25" customHeight="1" thickBot="1" x14ac:dyDescent="0.3">
      <c r="A50" s="375" t="str">
        <f>'Vážní listina'!HQ49</f>
        <v/>
      </c>
      <c r="B50" s="374" t="str">
        <f>'Vážní listina'!HR49</f>
        <v/>
      </c>
      <c r="C50" s="363" t="str">
        <f>IF(BP50="","",(IF(BP50&gt;1,$BH$2,"")))</f>
        <v/>
      </c>
      <c r="D50" s="361" t="str">
        <f>'Vážní listina'!HK49</f>
        <v/>
      </c>
      <c r="E50" s="343" t="str">
        <f>'Vážní listina'!HL49</f>
        <v/>
      </c>
      <c r="F50" s="26"/>
      <c r="G50" s="32"/>
      <c r="H50" s="334" t="str">
        <f>IF(H5="","",'Vážní listina'!HM49)</f>
        <v/>
      </c>
      <c r="I50" s="26"/>
      <c r="J50" s="32"/>
      <c r="K50" s="334" t="str">
        <f>IF(K5="","",DV50)</f>
        <v/>
      </c>
      <c r="L50" s="26"/>
      <c r="M50" s="32"/>
      <c r="N50" s="334" t="str">
        <f>IF(N5="","",FZ50)</f>
        <v/>
      </c>
      <c r="O50" s="26"/>
      <c r="P50" s="32"/>
      <c r="Q50" s="334" t="str">
        <f>IF(Q5="","",IP50)</f>
        <v/>
      </c>
      <c r="R50" s="26"/>
      <c r="S50" s="32"/>
      <c r="T50" s="334" t="str">
        <f>IF(T5="","",KF50)</f>
        <v/>
      </c>
      <c r="U50" s="26"/>
      <c r="V50" s="32"/>
      <c r="W50" s="337" t="str">
        <f>IF(W5="","",LW50)</f>
        <v/>
      </c>
      <c r="X50" s="26"/>
      <c r="Y50" s="33"/>
      <c r="Z50" s="338" t="str">
        <f>IF(A50="","",(F50+I50+L50+O50+R50+U50+X50))</f>
        <v/>
      </c>
      <c r="AA50" s="335" t="str">
        <f>IF(A50="","",(F51+I51+L51+O51+R51+U51+X51))</f>
        <v/>
      </c>
      <c r="AB50" s="336" t="str">
        <f>IF(A50="","",(G50+J50+M50+P50+S50+V50+Y50))</f>
        <v/>
      </c>
      <c r="AC50" s="355" t="str">
        <f>HF122</f>
        <v/>
      </c>
      <c r="AD50" s="328"/>
      <c r="AE50" s="328" t="str">
        <f>IF(D50="","",(IF('Tabulka finále'!$BK$47=1,(IF('Tabulka finále'!$K$56="","",(IF($AC$5="","",(IF($H$5="","",(FW160))))))),"")))</f>
        <v/>
      </c>
      <c r="AG50" s="252">
        <v>11</v>
      </c>
      <c r="AH50" s="138" t="str">
        <f t="shared" si="209"/>
        <v/>
      </c>
      <c r="AI50" s="177"/>
      <c r="AJ50" s="36" t="str">
        <f t="shared" si="364"/>
        <v/>
      </c>
      <c r="AK50" s="149" t="str">
        <f t="shared" si="365"/>
        <v/>
      </c>
      <c r="AM50" s="138" t="str">
        <f t="shared" si="354"/>
        <v/>
      </c>
      <c r="AN50" s="177"/>
      <c r="AO50" s="36" t="str">
        <f t="shared" si="189"/>
        <v/>
      </c>
      <c r="AP50" s="149" t="str">
        <f t="shared" si="211"/>
        <v/>
      </c>
      <c r="AR50" s="138" t="str">
        <f t="shared" si="212"/>
        <v/>
      </c>
      <c r="AS50" s="177"/>
      <c r="AT50" s="36" t="str">
        <f t="shared" si="213"/>
        <v/>
      </c>
      <c r="AU50" s="149" t="str">
        <f t="shared" si="355"/>
        <v/>
      </c>
      <c r="AW50" s="138" t="str">
        <f t="shared" si="214"/>
        <v/>
      </c>
      <c r="AX50" s="177"/>
      <c r="AY50" s="36" t="str">
        <f t="shared" si="215"/>
        <v/>
      </c>
      <c r="AZ50" s="149" t="str">
        <f>IF($T$5="","",(JX50))</f>
        <v/>
      </c>
      <c r="BB50" s="138" t="str">
        <f t="shared" si="358"/>
        <v/>
      </c>
      <c r="BC50" s="177"/>
      <c r="BD50" s="36" t="str">
        <f t="shared" si="216"/>
        <v/>
      </c>
      <c r="BE50" s="149" t="str">
        <f t="shared" si="217"/>
        <v/>
      </c>
      <c r="BG50" s="36">
        <f>IF(A50="",0,1)</f>
        <v>0</v>
      </c>
      <c r="BH50" s="36" t="str">
        <f>(IF(F50="","",(IF(F50&lt;2,1,0))))</f>
        <v/>
      </c>
      <c r="BI50" s="36" t="str">
        <f>(IF(I50="","",(IF(I50&lt;2,1,0))))</f>
        <v/>
      </c>
      <c r="BJ50" s="36" t="str">
        <f>(IF(L50="","",(IF(L50&lt;2,1,0))))</f>
        <v/>
      </c>
      <c r="BK50" s="36" t="str">
        <f>(IF(O50="","",(IF(O50&lt;2,1,0))))</f>
        <v/>
      </c>
      <c r="BL50" s="36" t="str">
        <f>IF(R50="","",(IF(R50&lt;2,1,0)))</f>
        <v/>
      </c>
      <c r="BM50" s="36" t="str">
        <f>IF(U50="","",(IF(U50&lt;2,1,0)))</f>
        <v/>
      </c>
      <c r="BN50" s="36" t="str">
        <f>IF(X50="","",(IF(X50&lt;2,1,0)))</f>
        <v/>
      </c>
      <c r="BP50" s="36" t="str">
        <f>IF(BG50=0,"",(SUM(BH50:BN50)))</f>
        <v/>
      </c>
      <c r="BR50" s="36" t="str">
        <f>BP60</f>
        <v/>
      </c>
      <c r="BS50" s="36" t="str">
        <f>D60</f>
        <v/>
      </c>
      <c r="BT50" s="122" t="str">
        <f>IF(SUM(BH60,BI60)=2,$BH$2,"")</f>
        <v/>
      </c>
      <c r="BV50" s="36">
        <f t="shared" si="191"/>
        <v>999</v>
      </c>
      <c r="BW50" s="36">
        <f t="shared" si="192"/>
        <v>999</v>
      </c>
      <c r="BX50" s="36">
        <f t="shared" si="344"/>
        <v>11</v>
      </c>
      <c r="BY50" s="36">
        <f t="shared" si="218"/>
        <v>999</v>
      </c>
      <c r="CB50" s="122">
        <v>11</v>
      </c>
      <c r="CC50" s="36">
        <f>IF((D60)="",0,D60)</f>
        <v>0</v>
      </c>
      <c r="CD50" s="36">
        <f t="shared" si="219"/>
        <v>0</v>
      </c>
      <c r="CE50" s="36">
        <f t="shared" si="220"/>
        <v>0</v>
      </c>
      <c r="CH50" s="36">
        <f t="shared" si="345"/>
        <v>0</v>
      </c>
      <c r="CI50" s="36">
        <f t="shared" si="221"/>
        <v>0</v>
      </c>
      <c r="CJ50" s="36">
        <f t="shared" si="222"/>
        <v>0</v>
      </c>
      <c r="CM50" s="36">
        <f t="shared" si="346"/>
        <v>0</v>
      </c>
      <c r="CO50" s="36">
        <f t="shared" si="223"/>
        <v>0</v>
      </c>
      <c r="CP50" s="36" t="str">
        <f t="shared" si="224"/>
        <v/>
      </c>
      <c r="CQ50" s="36">
        <f t="shared" si="225"/>
        <v>999</v>
      </c>
      <c r="CR50" s="36">
        <f t="shared" si="226"/>
        <v>11</v>
      </c>
      <c r="CS50" s="36">
        <f t="shared" si="227"/>
        <v>12</v>
      </c>
      <c r="CT50" s="36">
        <f t="shared" si="193"/>
        <v>999</v>
      </c>
      <c r="CU50" s="36" t="str">
        <f t="shared" si="228"/>
        <v/>
      </c>
      <c r="CV50" s="36">
        <f t="shared" si="229"/>
        <v>0</v>
      </c>
      <c r="CW50" s="36">
        <f t="shared" si="230"/>
        <v>0</v>
      </c>
      <c r="CX50" s="149" t="str">
        <f t="shared" si="231"/>
        <v/>
      </c>
      <c r="DA50" s="36" t="str">
        <f>D60</f>
        <v/>
      </c>
      <c r="DB50" s="36" t="str">
        <f>E60</f>
        <v/>
      </c>
      <c r="DC50" s="36" t="str">
        <f>H60</f>
        <v/>
      </c>
      <c r="DD50" s="36" t="str">
        <f t="shared" si="232"/>
        <v/>
      </c>
      <c r="DF50" s="36" t="str">
        <f t="shared" si="233"/>
        <v/>
      </c>
      <c r="DG50" s="36" t="str">
        <f t="shared" si="234"/>
        <v/>
      </c>
      <c r="DH50" s="36" t="str">
        <f t="shared" si="235"/>
        <v/>
      </c>
      <c r="DI50" s="36" t="str">
        <f t="shared" si="194"/>
        <v/>
      </c>
      <c r="DJ50" s="36" t="str">
        <f t="shared" si="236"/>
        <v/>
      </c>
      <c r="DL50" s="36" t="str">
        <f t="shared" si="195"/>
        <v/>
      </c>
      <c r="DM50" s="149" t="str">
        <f t="shared" si="237"/>
        <v/>
      </c>
      <c r="DN50" s="36" t="str">
        <f t="shared" si="238"/>
        <v/>
      </c>
      <c r="DO50" s="36" t="str">
        <f t="shared" si="239"/>
        <v/>
      </c>
      <c r="DP50" s="36" t="str">
        <f t="shared" si="240"/>
        <v/>
      </c>
      <c r="DR50" s="36" t="str">
        <f t="shared" si="241"/>
        <v/>
      </c>
      <c r="DS50" s="36" t="str">
        <f t="shared" si="242"/>
        <v/>
      </c>
      <c r="DT50" s="36" t="str">
        <f t="shared" si="243"/>
        <v/>
      </c>
      <c r="DV50" s="36" t="str">
        <f>DT45</f>
        <v/>
      </c>
      <c r="DX50" s="152" t="str">
        <f t="shared" si="244"/>
        <v/>
      </c>
      <c r="DY50" s="36" t="str">
        <f t="shared" si="245"/>
        <v/>
      </c>
      <c r="DZ50" s="36" t="str">
        <f t="shared" si="246"/>
        <v/>
      </c>
      <c r="EA50" s="36" t="str">
        <f t="shared" si="247"/>
        <v/>
      </c>
      <c r="EB50" s="173" t="str">
        <f t="shared" si="248"/>
        <v/>
      </c>
      <c r="EC50" s="36" t="str">
        <f>D60</f>
        <v/>
      </c>
      <c r="ED50" s="122">
        <v>11</v>
      </c>
      <c r="EE50" s="36" t="str">
        <f t="shared" si="249"/>
        <v/>
      </c>
      <c r="EF50" s="36">
        <f t="shared" si="250"/>
        <v>0</v>
      </c>
      <c r="EG50" s="36" t="str">
        <f>IF(SUM($BH$60:$BJ$60)=2,$BH$2,"")</f>
        <v/>
      </c>
      <c r="EH50" s="36" t="str">
        <f>IF(EE50="","",(INDEX(EG40:EG55,EE50-$CO$39)))</f>
        <v/>
      </c>
      <c r="EJ50" s="36">
        <f t="shared" si="251"/>
        <v>999</v>
      </c>
      <c r="EK50" s="36">
        <f>SMALL(EJ40:EJ55,ED50)</f>
        <v>999</v>
      </c>
      <c r="EL50" s="36" t="str">
        <f t="shared" si="356"/>
        <v/>
      </c>
      <c r="EM50" s="36">
        <f t="shared" si="252"/>
        <v>1</v>
      </c>
      <c r="EN50" s="36">
        <f t="shared" si="253"/>
        <v>0</v>
      </c>
      <c r="EQ50" s="36" t="str">
        <f t="shared" si="359"/>
        <v/>
      </c>
      <c r="ER50" s="36">
        <f t="shared" si="254"/>
        <v>0</v>
      </c>
      <c r="ES50" s="36">
        <f t="shared" si="255"/>
        <v>0</v>
      </c>
      <c r="ET50" s="149" t="str">
        <f t="shared" si="256"/>
        <v/>
      </c>
      <c r="EV50" s="36" t="str">
        <f>D60</f>
        <v/>
      </c>
      <c r="EW50" s="36" t="str">
        <f>E60</f>
        <v/>
      </c>
      <c r="EX50" s="36" t="str">
        <f>H60</f>
        <v/>
      </c>
      <c r="EY50" s="36" t="str">
        <f>K60</f>
        <v/>
      </c>
      <c r="EZ50" s="36" t="str">
        <f t="shared" si="257"/>
        <v/>
      </c>
      <c r="FB50" s="36" t="str">
        <f t="shared" si="258"/>
        <v/>
      </c>
      <c r="FC50" s="36" t="str">
        <f t="shared" si="259"/>
        <v/>
      </c>
      <c r="FD50" s="36" t="str">
        <f t="shared" si="196"/>
        <v/>
      </c>
      <c r="FE50" s="36" t="str">
        <f t="shared" si="197"/>
        <v/>
      </c>
      <c r="FF50" s="36" t="str">
        <f t="shared" si="198"/>
        <v/>
      </c>
      <c r="FG50" s="36" t="str">
        <f t="shared" si="199"/>
        <v/>
      </c>
      <c r="FI50" s="36" t="str">
        <f t="shared" si="260"/>
        <v/>
      </c>
      <c r="FL50" s="36" t="str">
        <f t="shared" si="261"/>
        <v/>
      </c>
      <c r="FM50" s="36" t="str">
        <f t="shared" si="347"/>
        <v/>
      </c>
      <c r="FN50" s="36" t="str">
        <f t="shared" si="262"/>
        <v/>
      </c>
      <c r="FO50" s="36" t="str">
        <f t="shared" si="263"/>
        <v/>
      </c>
      <c r="FP50" s="36" t="str">
        <f>IF(FN50="","",(IF(FO50="",(IF(FN50=FO40,FN40,IF(FN50=FO41,FN41,IF(FN50=FO42,FN42,IF(FN50=FO43,FN43,IF(FN50=FO44,FN44,IF(FN50=FO45,FN45,IF(FN50=FO46,FN46,IF(FN50=FO47,FN47,""))))))))),FO50)))</f>
        <v/>
      </c>
      <c r="FQ50" s="36" t="str">
        <f>IF(FN50="","",(IF(FN50=FO48,FN48,IF(FN50=FO49,FN49,IF(FN50=FO50,FN50,IF(FN50=FO51,FN51,IF(FN50=FO52,FN52,IF(FN50=FO53,FN53,IF(FN50=FO54,FN54,IF(FN50=FO55,FN55,""))))))))))</f>
        <v/>
      </c>
      <c r="FR50" s="173" t="str">
        <f t="shared" si="264"/>
        <v/>
      </c>
      <c r="FT50" s="36">
        <f t="shared" si="348"/>
        <v>14</v>
      </c>
      <c r="FV50" s="36" t="str">
        <f t="shared" si="265"/>
        <v/>
      </c>
      <c r="FW50" s="36" t="str">
        <f>IF(FT50=FN48,FR48,IF(FT50=FN49,FR49,IF(FT50=FN50,FR50,IF(FT50=FN51,FR51,IF(FT50=FN52,FR52,IF(FT50=FN53,FR53,IF(FT50=FN54,FR54,IF(FT50=FN55,FR55,""))))))))</f>
        <v/>
      </c>
      <c r="FX50" s="36" t="str">
        <f t="shared" si="266"/>
        <v/>
      </c>
      <c r="FZ50" s="36" t="str">
        <f>FX45</f>
        <v/>
      </c>
      <c r="GA50" s="152"/>
      <c r="GB50" s="122">
        <v>11</v>
      </c>
      <c r="GC50" s="36" t="str">
        <f>IF(D60="","",D60)</f>
        <v/>
      </c>
      <c r="GD50" s="36" t="str">
        <f>IF(E60="","",E60)</f>
        <v/>
      </c>
      <c r="GE50" s="36" t="str">
        <f>IF(H60="","",H60)</f>
        <v/>
      </c>
      <c r="GF50" s="36" t="str">
        <f>IF(K60="","",K60)</f>
        <v/>
      </c>
      <c r="GG50" s="36" t="str">
        <f>IF(N60="","",N60)</f>
        <v/>
      </c>
      <c r="GH50" s="36" t="str">
        <f>IF(Q60="","",Q60)</f>
        <v/>
      </c>
      <c r="GI50" s="36" t="str">
        <f>IF(T60="","",T60)</f>
        <v/>
      </c>
      <c r="GJ50" s="36" t="str">
        <f>IF(W60="","",W60)</f>
        <v/>
      </c>
      <c r="GK50" s="36" t="str">
        <f>IF(C60="","",C60)</f>
        <v/>
      </c>
      <c r="GM50" s="36" t="str">
        <f>IF(F60="","",F60)</f>
        <v/>
      </c>
      <c r="GN50" s="36" t="str">
        <f>IF(I60="","",I60)</f>
        <v/>
      </c>
      <c r="GO50" s="36" t="str">
        <f>IF(L60="","",L60)</f>
        <v/>
      </c>
      <c r="GP50" s="36" t="str">
        <f>IF(O60="","",O60)</f>
        <v/>
      </c>
      <c r="GQ50" s="36" t="str">
        <f>IF(R60="","",R60)</f>
        <v/>
      </c>
      <c r="GR50" s="36" t="str">
        <f>IF(U60="","",U60)</f>
        <v/>
      </c>
      <c r="GS50" s="36" t="str">
        <f>IF(X60="","",X60)</f>
        <v/>
      </c>
      <c r="GU50" s="36" t="str">
        <f>IF(F61="","",F61)</f>
        <v/>
      </c>
      <c r="GV50" s="36" t="str">
        <f>IF(I61="","",I61)</f>
        <v/>
      </c>
      <c r="GW50" s="36" t="str">
        <f>IF(L61="","",L61)</f>
        <v/>
      </c>
      <c r="GX50" s="36" t="str">
        <f>IF(O61="","",O61)</f>
        <v/>
      </c>
      <c r="GY50" s="36" t="str">
        <f>IF(R61="","",R61)</f>
        <v/>
      </c>
      <c r="GZ50" s="36" t="str">
        <f>IF(U61="","",U61)</f>
        <v/>
      </c>
      <c r="HA50" s="153" t="str">
        <f>IF(X61="","",X61)</f>
        <v/>
      </c>
      <c r="HB50" s="183" t="str">
        <f>D60</f>
        <v/>
      </c>
      <c r="HC50" s="122">
        <v>11</v>
      </c>
      <c r="HD50" s="36" t="str">
        <f>IF(SUM($BH60:$BK60)&gt;=2,$BH$2,"")</f>
        <v/>
      </c>
      <c r="HE50" s="36" t="str">
        <f t="shared" si="267"/>
        <v/>
      </c>
      <c r="HF50" s="36" t="str">
        <f t="shared" si="200"/>
        <v/>
      </c>
      <c r="HG50" s="36" t="str">
        <f t="shared" si="201"/>
        <v/>
      </c>
      <c r="HH50" s="36" t="str">
        <f t="shared" si="202"/>
        <v/>
      </c>
      <c r="HI50" s="36" t="str">
        <f t="shared" si="203"/>
        <v/>
      </c>
      <c r="HK50" s="36" t="str">
        <f t="shared" si="360"/>
        <v/>
      </c>
      <c r="HM50" s="36">
        <f t="shared" si="268"/>
        <v>999</v>
      </c>
      <c r="HN50" s="36">
        <f t="shared" si="269"/>
        <v>999</v>
      </c>
      <c r="HO50" s="36" t="str">
        <f t="shared" si="204"/>
        <v/>
      </c>
      <c r="HQ50" s="36">
        <f t="shared" si="270"/>
        <v>1</v>
      </c>
      <c r="HR50" s="36">
        <f t="shared" si="271"/>
        <v>0</v>
      </c>
      <c r="HS50" s="36" t="str">
        <f t="shared" si="349"/>
        <v/>
      </c>
      <c r="HT50" s="36">
        <f t="shared" si="272"/>
        <v>0</v>
      </c>
      <c r="HU50" s="36" t="str">
        <f t="shared" si="273"/>
        <v/>
      </c>
      <c r="HV50" s="138"/>
      <c r="HW50" s="36" t="str">
        <f t="shared" si="274"/>
        <v/>
      </c>
      <c r="HX50" s="36" t="str">
        <f t="shared" si="275"/>
        <v/>
      </c>
      <c r="HY50" s="36" t="str">
        <f t="shared" si="276"/>
        <v/>
      </c>
      <c r="HZ50" s="36" t="str">
        <f t="shared" si="277"/>
        <v/>
      </c>
      <c r="IA50" s="36" t="str">
        <f t="shared" si="278"/>
        <v/>
      </c>
      <c r="IC50" s="36" t="str">
        <f t="shared" si="350"/>
        <v/>
      </c>
      <c r="ID50" s="36" t="str">
        <f t="shared" si="363"/>
        <v/>
      </c>
      <c r="IE50" s="36" t="str">
        <f t="shared" si="366"/>
        <v/>
      </c>
      <c r="IH50" s="149" t="str">
        <f t="shared" si="282"/>
        <v/>
      </c>
      <c r="II50" s="138"/>
      <c r="IJ50" s="36" t="str">
        <f t="shared" si="283"/>
        <v/>
      </c>
      <c r="IL50" s="36" t="str">
        <f t="shared" si="284"/>
        <v/>
      </c>
      <c r="IM50" s="36" t="str">
        <f>IF(HU50="",IF(HS50="","",HS50),HU50)</f>
        <v/>
      </c>
      <c r="IN50" s="36" t="str">
        <f t="shared" si="286"/>
        <v/>
      </c>
      <c r="IO50" s="36" t="str">
        <f t="shared" si="287"/>
        <v/>
      </c>
      <c r="IP50" s="36" t="str">
        <f>IN45</f>
        <v/>
      </c>
      <c r="IQ50" s="183" t="str">
        <f>D60</f>
        <v/>
      </c>
      <c r="IR50" s="122">
        <v>11</v>
      </c>
      <c r="IS50" s="36" t="str">
        <f>IF(SUM($BH60:$BL60)&gt;1,$BH$2,"")</f>
        <v/>
      </c>
      <c r="IT50" s="36" t="str">
        <f t="shared" si="288"/>
        <v/>
      </c>
      <c r="IU50" s="36" t="str">
        <f t="shared" si="289"/>
        <v/>
      </c>
      <c r="IV50" s="36" t="str">
        <f t="shared" si="290"/>
        <v/>
      </c>
      <c r="IW50" s="36" t="str">
        <f t="shared" si="291"/>
        <v/>
      </c>
      <c r="IX50" s="36" t="str">
        <f t="shared" si="292"/>
        <v/>
      </c>
      <c r="IY50" s="36" t="str">
        <f t="shared" si="293"/>
        <v/>
      </c>
      <c r="IZ50" s="36" t="str">
        <f t="shared" si="294"/>
        <v/>
      </c>
      <c r="JB50" s="36">
        <f t="shared" si="295"/>
        <v>999</v>
      </c>
      <c r="JC50" s="36">
        <f t="shared" si="296"/>
        <v>999</v>
      </c>
      <c r="JD50" s="36" t="str">
        <f t="shared" si="205"/>
        <v/>
      </c>
      <c r="JF50" s="36">
        <f t="shared" si="297"/>
        <v>1</v>
      </c>
      <c r="JG50" s="36">
        <f t="shared" si="298"/>
        <v>0</v>
      </c>
      <c r="JH50" s="36" t="str">
        <f t="shared" si="299"/>
        <v/>
      </c>
      <c r="JI50" s="36">
        <f t="shared" si="300"/>
        <v>0</v>
      </c>
      <c r="JJ50" s="149" t="str">
        <f t="shared" si="361"/>
        <v/>
      </c>
      <c r="JL50" s="36" t="str">
        <f t="shared" si="301"/>
        <v/>
      </c>
      <c r="JM50" s="36" t="str">
        <f t="shared" si="351"/>
        <v/>
      </c>
      <c r="JN50" s="36" t="str">
        <f t="shared" si="302"/>
        <v/>
      </c>
      <c r="JO50" s="36" t="str">
        <f t="shared" si="303"/>
        <v/>
      </c>
      <c r="JP50" s="36" t="str">
        <f t="shared" si="304"/>
        <v/>
      </c>
      <c r="JQ50" s="36" t="str">
        <f t="shared" si="305"/>
        <v/>
      </c>
      <c r="JS50" s="36" t="str">
        <f t="shared" si="306"/>
        <v/>
      </c>
      <c r="JT50" s="36" t="str">
        <f t="shared" si="307"/>
        <v/>
      </c>
      <c r="JU50" s="36" t="str">
        <f t="shared" si="308"/>
        <v/>
      </c>
      <c r="JV50" s="36" t="str">
        <f t="shared" si="309"/>
        <v/>
      </c>
      <c r="JW50" s="36" t="str">
        <f t="shared" si="310"/>
        <v/>
      </c>
      <c r="JX50" s="149" t="str">
        <f t="shared" si="311"/>
        <v/>
      </c>
      <c r="JY50" s="138"/>
      <c r="JZ50" s="36" t="str">
        <f t="shared" si="312"/>
        <v/>
      </c>
      <c r="KB50" s="36" t="str">
        <f t="shared" si="313"/>
        <v/>
      </c>
      <c r="KC50" s="36" t="str">
        <f t="shared" si="314"/>
        <v/>
      </c>
      <c r="KD50" s="36" t="str">
        <f t="shared" si="315"/>
        <v/>
      </c>
      <c r="KF50" s="36" t="str">
        <f>KD45</f>
        <v/>
      </c>
      <c r="KG50" s="183" t="str">
        <f>D60</f>
        <v/>
      </c>
      <c r="KH50" s="122">
        <v>11</v>
      </c>
      <c r="KI50" s="36" t="str">
        <f>IF(SUM($BH60:$BM60)&gt;1,$BH$2,"")</f>
        <v/>
      </c>
      <c r="KJ50" s="36" t="str">
        <f t="shared" si="316"/>
        <v/>
      </c>
      <c r="KK50" s="36" t="str">
        <f t="shared" si="317"/>
        <v/>
      </c>
      <c r="KL50" s="36" t="str">
        <f t="shared" si="318"/>
        <v/>
      </c>
      <c r="KM50" s="36" t="str">
        <f t="shared" si="319"/>
        <v/>
      </c>
      <c r="KN50" s="36" t="str">
        <f t="shared" si="320"/>
        <v/>
      </c>
      <c r="KO50" s="36" t="str">
        <f t="shared" si="321"/>
        <v/>
      </c>
      <c r="KP50" s="36" t="str">
        <f t="shared" si="322"/>
        <v/>
      </c>
      <c r="KQ50" s="36" t="str">
        <f t="shared" si="323"/>
        <v/>
      </c>
      <c r="KS50" s="36">
        <f t="shared" si="324"/>
        <v>999</v>
      </c>
      <c r="KT50" s="36">
        <f t="shared" si="325"/>
        <v>999</v>
      </c>
      <c r="KU50" s="36" t="str">
        <f t="shared" si="206"/>
        <v/>
      </c>
      <c r="KW50" s="36">
        <f t="shared" si="326"/>
        <v>1</v>
      </c>
      <c r="KX50" s="36">
        <f t="shared" si="327"/>
        <v>0</v>
      </c>
      <c r="KY50" s="36" t="str">
        <f t="shared" si="352"/>
        <v/>
      </c>
      <c r="KZ50" s="36">
        <f t="shared" si="328"/>
        <v>0</v>
      </c>
      <c r="LA50" s="149" t="str">
        <f t="shared" si="329"/>
        <v/>
      </c>
      <c r="LC50" s="36" t="str">
        <f t="shared" si="330"/>
        <v/>
      </c>
      <c r="LD50" s="36" t="str">
        <f t="shared" si="331"/>
        <v/>
      </c>
      <c r="LE50" s="36" t="str">
        <f t="shared" si="332"/>
        <v/>
      </c>
      <c r="LF50" s="36" t="str">
        <f t="shared" si="333"/>
        <v/>
      </c>
      <c r="LG50" s="36" t="str">
        <f t="shared" si="334"/>
        <v/>
      </c>
      <c r="LH50" s="36" t="str">
        <f t="shared" si="335"/>
        <v/>
      </c>
      <c r="LI50" s="36" t="str">
        <f t="shared" si="336"/>
        <v/>
      </c>
      <c r="LJ50" s="36" t="str">
        <f t="shared" si="337"/>
        <v/>
      </c>
      <c r="LK50" s="36" t="str">
        <f t="shared" si="362"/>
        <v/>
      </c>
      <c r="LL50" s="36" t="str">
        <f t="shared" si="338"/>
        <v/>
      </c>
      <c r="LM50" s="36" t="str">
        <f t="shared" si="339"/>
        <v/>
      </c>
      <c r="LN50" s="36" t="str">
        <f t="shared" si="340"/>
        <v/>
      </c>
      <c r="LO50" s="149" t="str">
        <f t="shared" si="341"/>
        <v/>
      </c>
      <c r="LP50" s="138"/>
      <c r="LQ50" s="36" t="str">
        <f t="shared" si="342"/>
        <v/>
      </c>
      <c r="LS50" s="36" t="str">
        <f t="shared" si="353"/>
        <v/>
      </c>
      <c r="LT50" s="36" t="str">
        <f t="shared" si="343"/>
        <v/>
      </c>
      <c r="LU50" s="36" t="str">
        <f t="shared" si="208"/>
        <v/>
      </c>
      <c r="LW50" s="153" t="str">
        <f>LU45</f>
        <v/>
      </c>
      <c r="LX50" s="152"/>
    </row>
    <row r="51" spans="1:336" ht="14.25" customHeight="1" thickBot="1" x14ac:dyDescent="0.3">
      <c r="A51" s="375"/>
      <c r="B51" s="374"/>
      <c r="C51" s="363"/>
      <c r="D51" s="362"/>
      <c r="E51" s="346"/>
      <c r="F51" s="29"/>
      <c r="G51" s="30"/>
      <c r="H51" s="334"/>
      <c r="I51" s="29"/>
      <c r="J51" s="30"/>
      <c r="K51" s="334"/>
      <c r="L51" s="29"/>
      <c r="M51" s="30"/>
      <c r="N51" s="334"/>
      <c r="O51" s="29"/>
      <c r="P51" s="30"/>
      <c r="Q51" s="334"/>
      <c r="R51" s="29"/>
      <c r="S51" s="30"/>
      <c r="T51" s="334"/>
      <c r="U51" s="29"/>
      <c r="V51" s="30"/>
      <c r="W51" s="337"/>
      <c r="X51" s="29"/>
      <c r="Y51" s="30"/>
      <c r="Z51" s="338"/>
      <c r="AA51" s="335"/>
      <c r="AB51" s="336"/>
      <c r="AC51" s="355"/>
      <c r="AD51" s="328"/>
      <c r="AE51" s="328"/>
      <c r="AG51" s="252">
        <v>12</v>
      </c>
      <c r="AH51" s="138" t="str">
        <f t="shared" si="209"/>
        <v/>
      </c>
      <c r="AI51" s="177"/>
      <c r="AJ51" s="36" t="str">
        <f t="shared" si="364"/>
        <v/>
      </c>
      <c r="AK51" s="149" t="str">
        <f t="shared" si="365"/>
        <v/>
      </c>
      <c r="AM51" s="138" t="str">
        <f t="shared" si="354"/>
        <v/>
      </c>
      <c r="AN51" s="178"/>
      <c r="AO51" s="36" t="str">
        <f t="shared" si="189"/>
        <v/>
      </c>
      <c r="AP51" s="149" t="str">
        <f t="shared" si="211"/>
        <v/>
      </c>
      <c r="AR51" s="138" t="str">
        <f t="shared" si="212"/>
        <v/>
      </c>
      <c r="AS51" s="178"/>
      <c r="AT51" s="36" t="str">
        <f t="shared" si="213"/>
        <v/>
      </c>
      <c r="AU51" s="149"/>
      <c r="AW51" s="138" t="str">
        <f t="shared" si="214"/>
        <v/>
      </c>
      <c r="AX51" s="178"/>
      <c r="AY51" s="36" t="str">
        <f t="shared" si="215"/>
        <v/>
      </c>
      <c r="AZ51" s="149" t="str">
        <f>IF($T$5="","",(JX51))</f>
        <v/>
      </c>
      <c r="BB51" s="138"/>
      <c r="BC51" s="178"/>
      <c r="BD51" s="36" t="str">
        <f t="shared" si="216"/>
        <v/>
      </c>
      <c r="BE51" s="149" t="str">
        <f t="shared" si="217"/>
        <v/>
      </c>
      <c r="BH51" s="36" t="str">
        <f>IF(E51=$BQ$2,"",(IF(A51="","",(IF(F51="","",(IF(F51&lt;2,1,0)))))))</f>
        <v/>
      </c>
      <c r="BI51" s="36" t="str">
        <f>IF(H51=$BQ$2,"",(IF(A51="","",(IF(I51="","",(IF(I51&lt;2,1,0)))))))</f>
        <v/>
      </c>
      <c r="BJ51" s="36" t="str">
        <f>IF(K51=$BQ$2,"",(IF(A51="","",(IF(L51="","",(IF(L51&lt;2,1,0)))))))</f>
        <v/>
      </c>
      <c r="BK51" s="36" t="str">
        <f>IF(W51=$BQ$2,"",(IF(A51="","",(IF(X51="","",(IF(X51&lt;2,1,0)))))))</f>
        <v/>
      </c>
      <c r="BP51" s="36" t="str">
        <f>IF(BH51="","",(SUM(BH51:BK51)))</f>
        <v/>
      </c>
      <c r="BR51" s="36" t="str">
        <f>BP62</f>
        <v/>
      </c>
      <c r="BS51" s="36" t="str">
        <f>D62</f>
        <v/>
      </c>
      <c r="BT51" s="122" t="str">
        <f>IF(SUM(BH62,BI62)=2,$BH$2,"")</f>
        <v/>
      </c>
      <c r="BV51" s="36">
        <f t="shared" si="191"/>
        <v>999</v>
      </c>
      <c r="BW51" s="36">
        <f t="shared" si="192"/>
        <v>999</v>
      </c>
      <c r="BX51" s="36">
        <f t="shared" si="344"/>
        <v>12</v>
      </c>
      <c r="BY51" s="36">
        <f t="shared" si="218"/>
        <v>999</v>
      </c>
      <c r="CB51" s="122">
        <v>12</v>
      </c>
      <c r="CC51" s="36">
        <f>IF((D62)="",0,D62)</f>
        <v>0</v>
      </c>
      <c r="CD51" s="36">
        <f t="shared" si="219"/>
        <v>0</v>
      </c>
      <c r="CE51" s="36">
        <f t="shared" si="220"/>
        <v>0</v>
      </c>
      <c r="CH51" s="36">
        <f t="shared" si="345"/>
        <v>0</v>
      </c>
      <c r="CI51" s="36">
        <f t="shared" si="221"/>
        <v>0</v>
      </c>
      <c r="CJ51" s="36">
        <f t="shared" si="222"/>
        <v>0</v>
      </c>
      <c r="CM51" s="36">
        <f t="shared" si="346"/>
        <v>0</v>
      </c>
      <c r="CO51" s="36">
        <f t="shared" si="223"/>
        <v>0</v>
      </c>
      <c r="CP51" s="36" t="str">
        <f t="shared" si="224"/>
        <v/>
      </c>
      <c r="CQ51" s="36">
        <f t="shared" si="225"/>
        <v>999</v>
      </c>
      <c r="CR51" s="36">
        <f t="shared" si="226"/>
        <v>12</v>
      </c>
      <c r="CS51" s="36">
        <f t="shared" si="227"/>
        <v>13</v>
      </c>
      <c r="CT51" s="36">
        <f t="shared" si="193"/>
        <v>999</v>
      </c>
      <c r="CU51" s="36" t="str">
        <f t="shared" si="228"/>
        <v/>
      </c>
      <c r="CV51" s="36">
        <f t="shared" si="229"/>
        <v>0</v>
      </c>
      <c r="CW51" s="36">
        <f t="shared" si="230"/>
        <v>0</v>
      </c>
      <c r="CX51" s="149" t="str">
        <f t="shared" si="231"/>
        <v/>
      </c>
      <c r="DA51" s="36" t="str">
        <f>D62</f>
        <v/>
      </c>
      <c r="DB51" s="36" t="str">
        <f>E62</f>
        <v/>
      </c>
      <c r="DC51" s="36" t="str">
        <f>H62</f>
        <v/>
      </c>
      <c r="DD51" s="36" t="str">
        <f t="shared" si="232"/>
        <v/>
      </c>
      <c r="DF51" s="36" t="str">
        <f t="shared" si="233"/>
        <v/>
      </c>
      <c r="DG51" s="36" t="str">
        <f t="shared" si="234"/>
        <v/>
      </c>
      <c r="DH51" s="36" t="str">
        <f t="shared" si="235"/>
        <v/>
      </c>
      <c r="DI51" s="36" t="str">
        <f t="shared" si="194"/>
        <v/>
      </c>
      <c r="DJ51" s="36" t="str">
        <f t="shared" si="236"/>
        <v/>
      </c>
      <c r="DL51" s="36" t="str">
        <f t="shared" si="195"/>
        <v/>
      </c>
      <c r="DM51" s="149" t="str">
        <f t="shared" si="237"/>
        <v/>
      </c>
      <c r="DN51" s="36" t="str">
        <f t="shared" si="238"/>
        <v/>
      </c>
      <c r="DO51" s="36" t="str">
        <f t="shared" si="239"/>
        <v/>
      </c>
      <c r="DP51" s="36" t="str">
        <f t="shared" si="240"/>
        <v/>
      </c>
      <c r="DR51" s="36" t="str">
        <f t="shared" si="241"/>
        <v/>
      </c>
      <c r="DS51" s="36" t="str">
        <f t="shared" si="242"/>
        <v/>
      </c>
      <c r="DT51" s="36" t="str">
        <f t="shared" si="243"/>
        <v/>
      </c>
      <c r="DX51" s="152" t="str">
        <f t="shared" si="244"/>
        <v/>
      </c>
      <c r="DY51" s="36" t="str">
        <f t="shared" si="245"/>
        <v/>
      </c>
      <c r="DZ51" s="36" t="str">
        <f t="shared" si="246"/>
        <v/>
      </c>
      <c r="EA51" s="36" t="str">
        <f t="shared" si="247"/>
        <v/>
      </c>
      <c r="EB51" s="173" t="str">
        <f t="shared" si="248"/>
        <v/>
      </c>
      <c r="EC51" s="36" t="str">
        <f>D62</f>
        <v/>
      </c>
      <c r="ED51" s="122">
        <v>12</v>
      </c>
      <c r="EE51" s="36" t="str">
        <f t="shared" si="249"/>
        <v/>
      </c>
      <c r="EF51" s="36">
        <f t="shared" si="250"/>
        <v>0</v>
      </c>
      <c r="EG51" s="36" t="str">
        <f>IF(SUM($BH$62:$BJ$62)=2,$BH$2,"")</f>
        <v/>
      </c>
      <c r="EH51" s="36" t="str">
        <f>IF(EE51="","",(INDEX(EG40:EG55,EE51-$CO$39)))</f>
        <v/>
      </c>
      <c r="EJ51" s="36">
        <f t="shared" si="251"/>
        <v>999</v>
      </c>
      <c r="EK51" s="36">
        <f>SMALL(EJ40:EJ55,ED51)</f>
        <v>999</v>
      </c>
      <c r="EL51" s="36" t="str">
        <f t="shared" si="356"/>
        <v/>
      </c>
      <c r="EM51" s="36">
        <f t="shared" si="252"/>
        <v>1</v>
      </c>
      <c r="EN51" s="36">
        <f t="shared" si="253"/>
        <v>0</v>
      </c>
      <c r="EQ51" s="36" t="str">
        <f t="shared" si="359"/>
        <v/>
      </c>
      <c r="ER51" s="36">
        <f t="shared" si="254"/>
        <v>0</v>
      </c>
      <c r="ES51" s="36">
        <f t="shared" si="255"/>
        <v>0</v>
      </c>
      <c r="ET51" s="149" t="str">
        <f t="shared" si="256"/>
        <v/>
      </c>
      <c r="EV51" s="36" t="str">
        <f>D62</f>
        <v/>
      </c>
      <c r="EW51" s="36" t="str">
        <f>E62</f>
        <v/>
      </c>
      <c r="EX51" s="36" t="str">
        <f>H62</f>
        <v/>
      </c>
      <c r="EY51" s="36" t="str">
        <f>K62</f>
        <v/>
      </c>
      <c r="EZ51" s="36" t="str">
        <f t="shared" si="257"/>
        <v/>
      </c>
      <c r="FB51" s="36" t="str">
        <f t="shared" si="258"/>
        <v/>
      </c>
      <c r="FC51" s="36" t="str">
        <f t="shared" si="259"/>
        <v/>
      </c>
      <c r="FD51" s="36" t="str">
        <f t="shared" si="196"/>
        <v/>
      </c>
      <c r="FE51" s="36" t="str">
        <f t="shared" si="197"/>
        <v/>
      </c>
      <c r="FF51" s="36" t="str">
        <f t="shared" si="198"/>
        <v/>
      </c>
      <c r="FG51" s="36" t="str">
        <f t="shared" si="199"/>
        <v/>
      </c>
      <c r="FI51" s="36" t="str">
        <f t="shared" si="260"/>
        <v/>
      </c>
      <c r="FL51" s="36" t="str">
        <f t="shared" si="261"/>
        <v/>
      </c>
      <c r="FM51" s="36" t="str">
        <f t="shared" si="347"/>
        <v/>
      </c>
      <c r="FN51" s="36" t="str">
        <f t="shared" si="262"/>
        <v/>
      </c>
      <c r="FO51" s="36" t="str">
        <f t="shared" si="263"/>
        <v/>
      </c>
      <c r="FP51" s="36" t="str">
        <f>IF(FN51="","",(IF(FO51="",(IF(FN51=FO40,FN40,IF(FN51=FO41,FN41,IF(FN51=FO42,FN42,IF(FN51=FO43,FN43,IF(FN51=FO44,FN44,IF(FN51=FO45,FN45,IF(FN51=FO46,FN46,IF(FN51=FO47,FN47,""))))))))),FO51)))</f>
        <v/>
      </c>
      <c r="FQ51" s="36" t="str">
        <f>IF(FN51="","",(IF(FN51=FO48,FN48,IF(FN51=FO49,FN49,IF(FN51=FO50,FN50,IF(FN51=FO51,FN51,IF(FN51=FO52,FN52,IF(FN51=FO53,FN53,IF(FN51=FO54,FN54,IF(FN51=FO55,FN55,""))))))))))</f>
        <v/>
      </c>
      <c r="FR51" s="173" t="str">
        <f t="shared" si="264"/>
        <v/>
      </c>
      <c r="FT51" s="36">
        <f t="shared" si="348"/>
        <v>15</v>
      </c>
      <c r="FV51" s="36" t="str">
        <f t="shared" si="265"/>
        <v/>
      </c>
      <c r="FW51" s="36" t="str">
        <f>IF(FT51=FN48,FR48,IF(FT51=FN49,FR49,IF(FT51=FN50,FR50,IF(FT51=FN51,FR51,IF(FT51=FN52,FR52,IF(FT51=FN53,FR53,IF(FT51=FN54,FR54,IF(FT51=FN55,FR55,""))))))))</f>
        <v/>
      </c>
      <c r="FX51" s="36" t="str">
        <f t="shared" si="266"/>
        <v/>
      </c>
      <c r="GA51" s="152"/>
      <c r="GB51" s="122">
        <v>12</v>
      </c>
      <c r="GC51" s="36" t="str">
        <f>IF(D62="","",D62)</f>
        <v/>
      </c>
      <c r="GD51" s="36" t="str">
        <f>IF(E62="","",E62)</f>
        <v/>
      </c>
      <c r="GE51" s="36" t="str">
        <f>IF(H62="","",H62)</f>
        <v/>
      </c>
      <c r="GF51" s="36" t="str">
        <f>IF(K62="","",K62)</f>
        <v/>
      </c>
      <c r="GG51" s="36" t="str">
        <f>IF(N62="","",N62)</f>
        <v/>
      </c>
      <c r="GH51" s="36" t="str">
        <f>IF(Q62="","",Q62)</f>
        <v/>
      </c>
      <c r="GI51" s="36" t="str">
        <f>IF(T62="","",T62)</f>
        <v/>
      </c>
      <c r="GJ51" s="36" t="str">
        <f>IF(W62="","",W62)</f>
        <v/>
      </c>
      <c r="GK51" s="36" t="str">
        <f>IF(C62="","",C62)</f>
        <v/>
      </c>
      <c r="GM51" s="36" t="str">
        <f>IF(F62="","",F62)</f>
        <v/>
      </c>
      <c r="GN51" s="36" t="str">
        <f>IF(I62="","",I62)</f>
        <v/>
      </c>
      <c r="GO51" s="36" t="str">
        <f>IF(L62="","",L62)</f>
        <v/>
      </c>
      <c r="GP51" s="36" t="str">
        <f>IF(O62="","",O62)</f>
        <v/>
      </c>
      <c r="GQ51" s="36" t="str">
        <f>IF(R62="","",R62)</f>
        <v/>
      </c>
      <c r="GR51" s="36" t="str">
        <f>IF(U62="","",U62)</f>
        <v/>
      </c>
      <c r="GS51" s="36" t="str">
        <f>IF(X62="","",X62)</f>
        <v/>
      </c>
      <c r="GU51" s="36" t="str">
        <f>IF(F63="","",F63)</f>
        <v/>
      </c>
      <c r="GV51" s="36" t="str">
        <f>IF(I63="","",I63)</f>
        <v/>
      </c>
      <c r="GW51" s="36" t="str">
        <f>IF(L63="","",L63)</f>
        <v/>
      </c>
      <c r="GX51" s="36" t="str">
        <f>IF(O63="","",O63)</f>
        <v/>
      </c>
      <c r="GY51" s="36" t="str">
        <f>IF(R63="","",R63)</f>
        <v/>
      </c>
      <c r="GZ51" s="36" t="str">
        <f>IF(U63="","",U63)</f>
        <v/>
      </c>
      <c r="HA51" s="153" t="str">
        <f>IF(X63="","",X63)</f>
        <v/>
      </c>
      <c r="HB51" s="183" t="str">
        <f>D62</f>
        <v/>
      </c>
      <c r="HC51" s="122">
        <v>12</v>
      </c>
      <c r="HD51" s="36" t="str">
        <f>IF(SUM($BH62:$BK62)&gt;=2,$BH$2,"")</f>
        <v/>
      </c>
      <c r="HE51" s="36" t="str">
        <f t="shared" si="267"/>
        <v/>
      </c>
      <c r="HF51" s="36" t="str">
        <f t="shared" si="200"/>
        <v/>
      </c>
      <c r="HG51" s="36" t="str">
        <f t="shared" si="201"/>
        <v/>
      </c>
      <c r="HH51" s="36" t="str">
        <f t="shared" si="202"/>
        <v/>
      </c>
      <c r="HI51" s="36" t="str">
        <f t="shared" si="203"/>
        <v/>
      </c>
      <c r="HK51" s="36" t="str">
        <f t="shared" si="360"/>
        <v/>
      </c>
      <c r="HM51" s="36">
        <f t="shared" si="268"/>
        <v>999</v>
      </c>
      <c r="HN51" s="36">
        <f t="shared" si="269"/>
        <v>999</v>
      </c>
      <c r="HO51" s="36" t="str">
        <f t="shared" si="204"/>
        <v/>
      </c>
      <c r="HQ51" s="36">
        <f t="shared" si="270"/>
        <v>1</v>
      </c>
      <c r="HR51" s="36">
        <f t="shared" si="271"/>
        <v>0</v>
      </c>
      <c r="HS51" s="36" t="str">
        <f t="shared" si="349"/>
        <v/>
      </c>
      <c r="HT51" s="36">
        <f t="shared" si="272"/>
        <v>0</v>
      </c>
      <c r="HU51" s="36" t="str">
        <f t="shared" si="273"/>
        <v/>
      </c>
      <c r="HV51" s="138"/>
      <c r="HW51" s="36" t="str">
        <f t="shared" si="274"/>
        <v/>
      </c>
      <c r="HX51" s="36" t="str">
        <f t="shared" si="275"/>
        <v/>
      </c>
      <c r="HY51" s="36" t="str">
        <f t="shared" si="276"/>
        <v/>
      </c>
      <c r="HZ51" s="36" t="str">
        <f t="shared" si="277"/>
        <v/>
      </c>
      <c r="IA51" s="36" t="str">
        <f t="shared" si="278"/>
        <v/>
      </c>
      <c r="IC51" s="36" t="str">
        <f t="shared" si="350"/>
        <v/>
      </c>
      <c r="ID51" s="36" t="str">
        <f t="shared" si="363"/>
        <v/>
      </c>
      <c r="IE51" s="36" t="str">
        <f t="shared" si="366"/>
        <v/>
      </c>
      <c r="IH51" s="149"/>
      <c r="II51" s="138"/>
      <c r="IJ51" s="36" t="str">
        <f t="shared" si="283"/>
        <v/>
      </c>
      <c r="IL51" s="36" t="str">
        <f t="shared" si="284"/>
        <v/>
      </c>
      <c r="IM51" s="36" t="str">
        <f>IF(HU51="",IF(HS51="","",HS51),HU51)</f>
        <v/>
      </c>
      <c r="IN51" s="36" t="str">
        <f t="shared" si="286"/>
        <v/>
      </c>
      <c r="IO51" s="36" t="str">
        <f t="shared" si="287"/>
        <v/>
      </c>
      <c r="IQ51" s="183" t="str">
        <f>D62</f>
        <v/>
      </c>
      <c r="IR51" s="122">
        <v>12</v>
      </c>
      <c r="IS51" s="36" t="str">
        <f>IF(SUM($BH62:$BL62)&gt;1,$BH$2,"")</f>
        <v/>
      </c>
      <c r="IT51" s="36" t="str">
        <f t="shared" si="288"/>
        <v/>
      </c>
      <c r="IU51" s="36" t="str">
        <f t="shared" si="289"/>
        <v/>
      </c>
      <c r="IV51" s="36" t="str">
        <f t="shared" si="290"/>
        <v/>
      </c>
      <c r="IW51" s="36" t="str">
        <f t="shared" si="291"/>
        <v/>
      </c>
      <c r="IX51" s="36" t="str">
        <f t="shared" si="292"/>
        <v/>
      </c>
      <c r="IY51" s="36" t="str">
        <f t="shared" si="293"/>
        <v/>
      </c>
      <c r="IZ51" s="36" t="str">
        <f t="shared" si="294"/>
        <v/>
      </c>
      <c r="JB51" s="36">
        <f t="shared" si="295"/>
        <v>999</v>
      </c>
      <c r="JC51" s="36">
        <f t="shared" si="296"/>
        <v>999</v>
      </c>
      <c r="JD51" s="36" t="str">
        <f t="shared" si="205"/>
        <v/>
      </c>
      <c r="JF51" s="36">
        <f t="shared" si="297"/>
        <v>1</v>
      </c>
      <c r="JG51" s="36">
        <f t="shared" si="298"/>
        <v>0</v>
      </c>
      <c r="JH51" s="36" t="str">
        <f t="shared" si="299"/>
        <v/>
      </c>
      <c r="JI51" s="36">
        <f t="shared" si="300"/>
        <v>0</v>
      </c>
      <c r="JJ51" s="149" t="str">
        <f t="shared" si="361"/>
        <v/>
      </c>
      <c r="JL51" s="36" t="str">
        <f t="shared" si="301"/>
        <v/>
      </c>
      <c r="JM51" s="36" t="str">
        <f t="shared" si="351"/>
        <v/>
      </c>
      <c r="JN51" s="36" t="str">
        <f t="shared" si="302"/>
        <v/>
      </c>
      <c r="JO51" s="36" t="str">
        <f t="shared" si="303"/>
        <v/>
      </c>
      <c r="JP51" s="36" t="str">
        <f t="shared" si="304"/>
        <v/>
      </c>
      <c r="JQ51" s="36" t="str">
        <f t="shared" si="305"/>
        <v/>
      </c>
      <c r="JS51" s="36" t="str">
        <f t="shared" si="306"/>
        <v/>
      </c>
      <c r="JT51" s="36" t="str">
        <f t="shared" si="307"/>
        <v/>
      </c>
      <c r="JU51" s="36" t="str">
        <f t="shared" si="308"/>
        <v/>
      </c>
      <c r="JV51" s="36" t="str">
        <f t="shared" si="309"/>
        <v/>
      </c>
      <c r="JW51" s="36" t="str">
        <f t="shared" si="310"/>
        <v/>
      </c>
      <c r="JX51" s="149" t="str">
        <f t="shared" si="311"/>
        <v/>
      </c>
      <c r="JY51" s="138"/>
      <c r="JZ51" s="36" t="str">
        <f t="shared" si="312"/>
        <v/>
      </c>
      <c r="KB51" s="36" t="str">
        <f t="shared" si="313"/>
        <v/>
      </c>
      <c r="KC51" s="36" t="str">
        <f t="shared" si="314"/>
        <v/>
      </c>
      <c r="KD51" s="36" t="str">
        <f t="shared" si="315"/>
        <v/>
      </c>
      <c r="KG51" s="183" t="str">
        <f>D62</f>
        <v/>
      </c>
      <c r="KH51" s="122">
        <v>12</v>
      </c>
      <c r="KI51" s="36" t="str">
        <f>IF(SUM($BH62:$BM62)&gt;1,$BH$2,"")</f>
        <v/>
      </c>
      <c r="KJ51" s="36" t="str">
        <f t="shared" si="316"/>
        <v/>
      </c>
      <c r="KK51" s="36" t="str">
        <f t="shared" si="317"/>
        <v/>
      </c>
      <c r="KL51" s="36" t="str">
        <f t="shared" si="318"/>
        <v/>
      </c>
      <c r="KM51" s="36" t="str">
        <f t="shared" si="319"/>
        <v/>
      </c>
      <c r="KN51" s="36" t="str">
        <f t="shared" si="320"/>
        <v/>
      </c>
      <c r="KO51" s="36" t="str">
        <f t="shared" si="321"/>
        <v/>
      </c>
      <c r="KP51" s="36" t="str">
        <f t="shared" si="322"/>
        <v/>
      </c>
      <c r="KQ51" s="36" t="str">
        <f t="shared" si="323"/>
        <v/>
      </c>
      <c r="KS51" s="36">
        <f t="shared" si="324"/>
        <v>999</v>
      </c>
      <c r="KT51" s="36">
        <f t="shared" si="325"/>
        <v>999</v>
      </c>
      <c r="KU51" s="36" t="str">
        <f t="shared" si="206"/>
        <v/>
      </c>
      <c r="KW51" s="36">
        <f t="shared" si="326"/>
        <v>1</v>
      </c>
      <c r="KX51" s="36">
        <f t="shared" si="327"/>
        <v>0</v>
      </c>
      <c r="KY51" s="36" t="str">
        <f t="shared" si="352"/>
        <v/>
      </c>
      <c r="KZ51" s="36">
        <f t="shared" si="328"/>
        <v>0</v>
      </c>
      <c r="LA51" s="149" t="str">
        <f t="shared" si="329"/>
        <v/>
      </c>
      <c r="LC51" s="36" t="str">
        <f t="shared" si="330"/>
        <v/>
      </c>
      <c r="LD51" s="36" t="str">
        <f t="shared" si="331"/>
        <v/>
      </c>
      <c r="LE51" s="36" t="str">
        <f t="shared" si="332"/>
        <v/>
      </c>
      <c r="LF51" s="36" t="str">
        <f t="shared" si="333"/>
        <v/>
      </c>
      <c r="LG51" s="36" t="str">
        <f t="shared" si="334"/>
        <v/>
      </c>
      <c r="LH51" s="36" t="str">
        <f t="shared" si="335"/>
        <v/>
      </c>
      <c r="LI51" s="36" t="str">
        <f t="shared" si="336"/>
        <v/>
      </c>
      <c r="LJ51" s="36" t="str">
        <f t="shared" si="337"/>
        <v/>
      </c>
      <c r="LK51" s="36" t="str">
        <f t="shared" si="362"/>
        <v/>
      </c>
      <c r="LL51" s="36" t="str">
        <f t="shared" si="338"/>
        <v/>
      </c>
      <c r="LM51" s="36" t="str">
        <f t="shared" si="339"/>
        <v/>
      </c>
      <c r="LN51" s="36" t="str">
        <f t="shared" si="340"/>
        <v/>
      </c>
      <c r="LO51" s="149" t="str">
        <f t="shared" si="341"/>
        <v/>
      </c>
      <c r="LP51" s="138"/>
      <c r="LQ51" s="36" t="str">
        <f t="shared" si="342"/>
        <v/>
      </c>
      <c r="LS51" s="36" t="str">
        <f t="shared" si="353"/>
        <v/>
      </c>
      <c r="LT51" s="36" t="str">
        <f t="shared" si="343"/>
        <v/>
      </c>
      <c r="LU51" s="36" t="str">
        <f t="shared" si="208"/>
        <v/>
      </c>
      <c r="LW51" s="153"/>
      <c r="LX51" s="152"/>
    </row>
    <row r="52" spans="1:336" ht="14.25" customHeight="1" thickBot="1" x14ac:dyDescent="0.3">
      <c r="A52" s="375" t="str">
        <f>'Vážní listina'!HQ51</f>
        <v/>
      </c>
      <c r="B52" s="374" t="str">
        <f>'Vážní listina'!HR51</f>
        <v/>
      </c>
      <c r="C52" s="363" t="str">
        <f>IF(BP52="","",(IF(BP52&gt;1,$BH$2,"")))</f>
        <v/>
      </c>
      <c r="D52" s="361" t="str">
        <f>'Vážní listina'!HK51</f>
        <v/>
      </c>
      <c r="E52" s="343" t="str">
        <f>'Vážní listina'!HL51</f>
        <v/>
      </c>
      <c r="F52" s="26"/>
      <c r="G52" s="33"/>
      <c r="H52" s="343" t="str">
        <f>IF(H5="","",'Vážní listina'!HM51)</f>
        <v/>
      </c>
      <c r="I52" s="26"/>
      <c r="J52" s="33"/>
      <c r="K52" s="334" t="str">
        <f>IF(K5="","",DV52)</f>
        <v/>
      </c>
      <c r="L52" s="26"/>
      <c r="M52" s="33"/>
      <c r="N52" s="334" t="str">
        <f>IF(N5="","",FZ52)</f>
        <v/>
      </c>
      <c r="O52" s="26"/>
      <c r="P52" s="33"/>
      <c r="Q52" s="334" t="str">
        <f>IF(Q5="","",IP52)</f>
        <v/>
      </c>
      <c r="R52" s="26"/>
      <c r="S52" s="33"/>
      <c r="T52" s="334" t="str">
        <f>IF(T5="","",KF52)</f>
        <v/>
      </c>
      <c r="U52" s="26"/>
      <c r="V52" s="33"/>
      <c r="W52" s="337" t="str">
        <f>IF(W5="","",LW52)</f>
        <v/>
      </c>
      <c r="X52" s="26"/>
      <c r="Y52" s="33"/>
      <c r="Z52" s="338" t="str">
        <f>IF(A52="","",(F52+I52+L52+O52+R52+U52+X52))</f>
        <v/>
      </c>
      <c r="AA52" s="335" t="str">
        <f>IF(A52="","",(F53+I53+L53+O53+R53+U53+X53))</f>
        <v/>
      </c>
      <c r="AB52" s="336" t="str">
        <f>IF(A52="","",(G52+J52+M52+P52+S52+V52+Y52))</f>
        <v/>
      </c>
      <c r="AC52" s="355" t="str">
        <f>HF124</f>
        <v/>
      </c>
      <c r="AD52" s="329"/>
      <c r="AE52" s="328" t="str">
        <f>IF(D52="","",(IF('Tabulka finále'!$BK$47=1,(IF('Tabulka finále'!$K$56="","",(IF($AC$5="","",(IF($H$5="","",(FW162))))))),"")))</f>
        <v/>
      </c>
      <c r="AG52" s="252">
        <v>13</v>
      </c>
      <c r="AH52" s="138" t="str">
        <f t="shared" si="209"/>
        <v/>
      </c>
      <c r="AI52" s="177"/>
      <c r="AJ52" s="36" t="str">
        <f t="shared" si="364"/>
        <v/>
      </c>
      <c r="AK52" s="149" t="str">
        <f t="shared" si="365"/>
        <v/>
      </c>
      <c r="AM52" s="138" t="str">
        <f t="shared" si="354"/>
        <v/>
      </c>
      <c r="AO52" s="36" t="str">
        <f>IF(FR52="",(IF(AM52="","",(IF(FO52=$BQ$2,$BQ$2,IF((AN52)="","",AN52))))),FR52)</f>
        <v/>
      </c>
      <c r="AP52" s="149" t="str">
        <f>IF($H$5="","",(FM52))</f>
        <v/>
      </c>
      <c r="AR52" s="138"/>
      <c r="AU52" s="149"/>
      <c r="AW52" s="138"/>
      <c r="AZ52" s="149"/>
      <c r="BB52" s="138"/>
      <c r="BE52" s="149"/>
      <c r="BG52" s="36">
        <f>IF(A52="",0,1)</f>
        <v>0</v>
      </c>
      <c r="BH52" s="36" t="str">
        <f>(IF(F52="","",(IF(F52&lt;2,1,0))))</f>
        <v/>
      </c>
      <c r="BI52" s="36" t="str">
        <f>(IF(I52="","",(IF(I52&lt;2,1,0))))</f>
        <v/>
      </c>
      <c r="BJ52" s="36" t="str">
        <f>(IF(L52="","",(IF(L52&lt;2,1,0))))</f>
        <v/>
      </c>
      <c r="BK52" s="36" t="str">
        <f>(IF(O52="","",(IF(O52&lt;2,1,0))))</f>
        <v/>
      </c>
      <c r="BL52" s="36" t="str">
        <f>IF(R52="","",(IF(R52&lt;2,1,0)))</f>
        <v/>
      </c>
      <c r="BM52" s="36" t="str">
        <f>IF(U52="","",(IF(U52&lt;2,1,0)))</f>
        <v/>
      </c>
      <c r="BN52" s="36" t="str">
        <f>IF(X52="","",(IF(X52&lt;2,1,0)))</f>
        <v/>
      </c>
      <c r="BP52" s="36" t="str">
        <f>IF(BG52=0,"",(SUM(BH52:BN52)))</f>
        <v/>
      </c>
      <c r="BR52" s="36" t="str">
        <f>BP64</f>
        <v/>
      </c>
      <c r="BS52" s="36" t="str">
        <f>D64</f>
        <v/>
      </c>
      <c r="BT52" s="122" t="str">
        <f>IF(SUM(BH64,BI64)=2,$BH$2,"")</f>
        <v/>
      </c>
      <c r="BV52" s="36">
        <f t="shared" si="191"/>
        <v>999</v>
      </c>
      <c r="BW52" s="36">
        <f t="shared" si="192"/>
        <v>999</v>
      </c>
      <c r="BX52" s="36">
        <f t="shared" si="344"/>
        <v>13</v>
      </c>
      <c r="BY52" s="36">
        <f t="shared" si="218"/>
        <v>999</v>
      </c>
      <c r="CB52" s="122">
        <v>13</v>
      </c>
      <c r="CC52" s="36">
        <f>IF((D64)="",0,D64)</f>
        <v>0</v>
      </c>
      <c r="CD52" s="36">
        <f t="shared" si="219"/>
        <v>0</v>
      </c>
      <c r="CE52" s="36">
        <f t="shared" si="220"/>
        <v>0</v>
      </c>
      <c r="CH52" s="36">
        <f t="shared" si="345"/>
        <v>0</v>
      </c>
      <c r="CI52" s="36">
        <f t="shared" si="221"/>
        <v>0</v>
      </c>
      <c r="CJ52" s="36">
        <f t="shared" si="222"/>
        <v>0</v>
      </c>
      <c r="CM52" s="36">
        <f t="shared" si="346"/>
        <v>0</v>
      </c>
      <c r="CO52" s="36">
        <f t="shared" si="223"/>
        <v>0</v>
      </c>
      <c r="CP52" s="36" t="str">
        <f t="shared" si="224"/>
        <v/>
      </c>
      <c r="CQ52" s="36">
        <f t="shared" si="225"/>
        <v>999</v>
      </c>
      <c r="CR52" s="36">
        <f t="shared" si="226"/>
        <v>13</v>
      </c>
      <c r="CS52" s="36">
        <f t="shared" si="227"/>
        <v>14</v>
      </c>
      <c r="CT52" s="36">
        <f t="shared" si="193"/>
        <v>999</v>
      </c>
      <c r="CU52" s="36" t="str">
        <f t="shared" si="228"/>
        <v/>
      </c>
      <c r="CV52" s="36">
        <f t="shared" si="229"/>
        <v>0</v>
      </c>
      <c r="CW52" s="36">
        <f t="shared" si="230"/>
        <v>0</v>
      </c>
      <c r="CX52" s="149" t="str">
        <f t="shared" si="231"/>
        <v/>
      </c>
      <c r="DA52" s="36" t="str">
        <f>D64</f>
        <v/>
      </c>
      <c r="DB52" s="36" t="str">
        <f>E64</f>
        <v/>
      </c>
      <c r="DC52" s="36" t="str">
        <f>H64</f>
        <v/>
      </c>
      <c r="DD52" s="36" t="str">
        <f t="shared" si="232"/>
        <v/>
      </c>
      <c r="DF52" s="36" t="str">
        <f t="shared" si="233"/>
        <v/>
      </c>
      <c r="DG52" s="36" t="str">
        <f t="shared" si="234"/>
        <v/>
      </c>
      <c r="DH52" s="36" t="str">
        <f t="shared" si="235"/>
        <v/>
      </c>
      <c r="DI52" s="36" t="str">
        <f t="shared" si="194"/>
        <v/>
      </c>
      <c r="DJ52" s="36" t="str">
        <f t="shared" si="236"/>
        <v/>
      </c>
      <c r="DL52" s="36" t="str">
        <f t="shared" si="195"/>
        <v/>
      </c>
      <c r="DM52" s="149" t="str">
        <f t="shared" si="237"/>
        <v/>
      </c>
      <c r="DN52" s="36" t="str">
        <f t="shared" si="238"/>
        <v/>
      </c>
      <c r="DO52" s="36" t="str">
        <f t="shared" si="239"/>
        <v/>
      </c>
      <c r="DP52" s="36" t="str">
        <f t="shared" si="240"/>
        <v/>
      </c>
      <c r="DR52" s="36" t="str">
        <f t="shared" si="241"/>
        <v/>
      </c>
      <c r="DS52" s="36" t="str">
        <f t="shared" si="242"/>
        <v/>
      </c>
      <c r="DT52" s="36" t="str">
        <f t="shared" si="243"/>
        <v/>
      </c>
      <c r="DV52" s="36" t="str">
        <f>DT46</f>
        <v/>
      </c>
      <c r="DX52" s="152" t="str">
        <f t="shared" si="244"/>
        <v/>
      </c>
      <c r="DY52" s="36" t="str">
        <f t="shared" si="245"/>
        <v/>
      </c>
      <c r="DZ52" s="36" t="str">
        <f t="shared" si="246"/>
        <v/>
      </c>
      <c r="EA52" s="36" t="str">
        <f t="shared" si="247"/>
        <v/>
      </c>
      <c r="EB52" s="173" t="str">
        <f t="shared" si="248"/>
        <v/>
      </c>
      <c r="EC52" s="36" t="str">
        <f>D64</f>
        <v/>
      </c>
      <c r="ED52" s="122">
        <v>13</v>
      </c>
      <c r="EE52" s="36" t="str">
        <f t="shared" si="249"/>
        <v/>
      </c>
      <c r="EF52" s="36">
        <f t="shared" si="250"/>
        <v>0</v>
      </c>
      <c r="EG52" s="36" t="str">
        <f>IF(SUM($BH$64:$BJ$64)=2,$BH$2,"")</f>
        <v/>
      </c>
      <c r="EH52" s="36" t="str">
        <f>IF(EE52="","",(INDEX(EG40:EG55,EE52-$CO$39)))</f>
        <v/>
      </c>
      <c r="EJ52" s="36">
        <f t="shared" si="251"/>
        <v>999</v>
      </c>
      <c r="EK52" s="36">
        <f>SMALL(EJ40:EJ55,ED52)</f>
        <v>999</v>
      </c>
      <c r="EL52" s="36" t="str">
        <f t="shared" si="356"/>
        <v/>
      </c>
      <c r="EM52" s="36">
        <f t="shared" si="252"/>
        <v>1</v>
      </c>
      <c r="EN52" s="36">
        <f t="shared" si="253"/>
        <v>0</v>
      </c>
      <c r="EQ52" s="36" t="str">
        <f t="shared" si="359"/>
        <v/>
      </c>
      <c r="ER52" s="36">
        <f t="shared" si="254"/>
        <v>0</v>
      </c>
      <c r="ES52" s="36">
        <f t="shared" si="255"/>
        <v>0</v>
      </c>
      <c r="ET52" s="149" t="str">
        <f t="shared" si="256"/>
        <v/>
      </c>
      <c r="EV52" s="36" t="str">
        <f>D64</f>
        <v/>
      </c>
      <c r="EW52" s="36" t="str">
        <f>E64</f>
        <v/>
      </c>
      <c r="EX52" s="36" t="str">
        <f>H64</f>
        <v/>
      </c>
      <c r="EY52" s="36" t="str">
        <f>K64</f>
        <v/>
      </c>
      <c r="EZ52" s="36" t="str">
        <f t="shared" si="257"/>
        <v/>
      </c>
      <c r="FB52" s="36" t="str">
        <f t="shared" si="258"/>
        <v/>
      </c>
      <c r="FC52" s="36" t="str">
        <f t="shared" si="259"/>
        <v/>
      </c>
      <c r="FD52" s="36" t="str">
        <f t="shared" si="196"/>
        <v/>
      </c>
      <c r="FE52" s="36" t="str">
        <f t="shared" si="197"/>
        <v/>
      </c>
      <c r="FF52" s="36" t="str">
        <f t="shared" si="198"/>
        <v/>
      </c>
      <c r="FG52" s="36" t="str">
        <f t="shared" si="199"/>
        <v/>
      </c>
      <c r="FI52" s="36" t="str">
        <f t="shared" si="260"/>
        <v/>
      </c>
      <c r="FL52" s="36" t="str">
        <f t="shared" si="261"/>
        <v/>
      </c>
      <c r="FM52" s="36" t="str">
        <f t="shared" si="347"/>
        <v/>
      </c>
      <c r="FN52" s="36" t="str">
        <f t="shared" si="262"/>
        <v/>
      </c>
      <c r="FO52" s="36" t="str">
        <f t="shared" si="263"/>
        <v/>
      </c>
      <c r="FP52" s="36" t="str">
        <f>IF(FN52="","",(IF(FO52="",(IF(FN52=FO40,FN40,IF(FN52=FO41,FN41,IF(FN52=FO42,FN42,IF(FN52=FO43,FN43,IF(FN52=FO44,FN44,IF(FN52=FO45,FN45,IF(FN52=FO46,FN46,IF(FN52=FO47,FN47,""))))))))),FO52)))</f>
        <v/>
      </c>
      <c r="FQ52" s="36" t="str">
        <f>IF(FN52="","",(IF(FN52=FO48,FN48,IF(FN52=FO49,FN49,IF(FN52=FO50,FN50,IF(FN52=FO51,FN51,IF(FN52=FO52,FN52,IF(FN52=FO53,FN53,IF(FN52=FO54,FN54,IF(FN52=FO55,FN55,""))))))))))</f>
        <v/>
      </c>
      <c r="FR52" s="173" t="str">
        <f t="shared" si="264"/>
        <v/>
      </c>
      <c r="FT52" s="36">
        <f t="shared" si="348"/>
        <v>16</v>
      </c>
      <c r="FV52" s="36" t="str">
        <f t="shared" si="265"/>
        <v/>
      </c>
      <c r="FW52" s="36" t="str">
        <f>IF(FT52=FN48,FR48,IF(FT52=FN49,FR49,IF(FT52=FN50,FR50,IF(FT52=FN51,FR51,IF(FT52=FN52,FR52,IF(FT52=FN53,FR53,IF(FT52=FN54,FR54,IF(FT52=FN55,FR55,""))))))))</f>
        <v/>
      </c>
      <c r="FX52" s="36" t="str">
        <f t="shared" si="266"/>
        <v/>
      </c>
      <c r="FZ52" s="36" t="str">
        <f>FX46</f>
        <v/>
      </c>
      <c r="GA52" s="152"/>
      <c r="GB52" s="122">
        <v>13</v>
      </c>
      <c r="GC52" s="36" t="str">
        <f>IF(D64="","",D64)</f>
        <v/>
      </c>
      <c r="GD52" s="36" t="str">
        <f>IF(E64="","",E64)</f>
        <v/>
      </c>
      <c r="GE52" s="36" t="str">
        <f>IF(H64="","",H64)</f>
        <v/>
      </c>
      <c r="GF52" s="36" t="str">
        <f>IF(K64="","",K64)</f>
        <v/>
      </c>
      <c r="GG52" s="36" t="str">
        <f>IF(N64="","",N64)</f>
        <v/>
      </c>
      <c r="GH52" s="36" t="str">
        <f>IF(Q64="","",Q64)</f>
        <v/>
      </c>
      <c r="GI52" s="36" t="str">
        <f>IF(T64="","",T64)</f>
        <v/>
      </c>
      <c r="GJ52" s="36" t="str">
        <f>IF(W64="","",W64)</f>
        <v/>
      </c>
      <c r="GK52" s="36" t="str">
        <f>IF(C64="","",C64)</f>
        <v/>
      </c>
      <c r="GM52" s="36" t="str">
        <f>IF(F64="","",F64)</f>
        <v/>
      </c>
      <c r="GN52" s="36" t="str">
        <f>IF(I64="","",I64)</f>
        <v/>
      </c>
      <c r="GO52" s="36" t="str">
        <f>IF(L64="","",L64)</f>
        <v/>
      </c>
      <c r="GP52" s="36" t="str">
        <f>IF(O64="","",O64)</f>
        <v/>
      </c>
      <c r="GQ52" s="36" t="str">
        <f>IF(R64="","",R64)</f>
        <v/>
      </c>
      <c r="GR52" s="36" t="str">
        <f>IF(U64="","",U64)</f>
        <v/>
      </c>
      <c r="GS52" s="36" t="str">
        <f>IF(X64="","",X64)</f>
        <v/>
      </c>
      <c r="GU52" s="36" t="str">
        <f>IF(F65="","",F65)</f>
        <v/>
      </c>
      <c r="GV52" s="36" t="str">
        <f>IF(I65="","",I65)</f>
        <v/>
      </c>
      <c r="GW52" s="36" t="str">
        <f>IF(L65="","",L65)</f>
        <v/>
      </c>
      <c r="GX52" s="36" t="str">
        <f>IF(O65="","",O65)</f>
        <v/>
      </c>
      <c r="GY52" s="36" t="str">
        <f>IF(R65="","",R65)</f>
        <v/>
      </c>
      <c r="GZ52" s="36" t="str">
        <f>IF(U65="","",U65)</f>
        <v/>
      </c>
      <c r="HA52" s="153" t="str">
        <f>IF(X65="","",X65)</f>
        <v/>
      </c>
      <c r="HB52" s="183" t="str">
        <f>D64</f>
        <v/>
      </c>
      <c r="HC52" s="122">
        <v>13</v>
      </c>
      <c r="HD52" s="36" t="str">
        <f>IF(SUM($BH64:$BK64)&gt;=2,$BH$2,"")</f>
        <v/>
      </c>
      <c r="HE52" s="36" t="str">
        <f t="shared" si="267"/>
        <v/>
      </c>
      <c r="HF52" s="36" t="str">
        <f t="shared" si="200"/>
        <v/>
      </c>
      <c r="HG52" s="36" t="str">
        <f t="shared" si="201"/>
        <v/>
      </c>
      <c r="HH52" s="36" t="str">
        <f t="shared" si="202"/>
        <v/>
      </c>
      <c r="HI52" s="36" t="str">
        <f t="shared" si="203"/>
        <v/>
      </c>
      <c r="HK52" s="36" t="str">
        <f t="shared" si="360"/>
        <v/>
      </c>
      <c r="HM52" s="36">
        <f t="shared" si="268"/>
        <v>999</v>
      </c>
      <c r="HN52" s="36">
        <f t="shared" si="269"/>
        <v>999</v>
      </c>
      <c r="HO52" s="36" t="str">
        <f t="shared" si="204"/>
        <v/>
      </c>
      <c r="HQ52" s="36">
        <f t="shared" si="270"/>
        <v>1</v>
      </c>
      <c r="HR52" s="36">
        <f t="shared" si="271"/>
        <v>0</v>
      </c>
      <c r="HS52" s="36" t="str">
        <f t="shared" si="349"/>
        <v/>
      </c>
      <c r="HT52" s="36">
        <f t="shared" si="272"/>
        <v>0</v>
      </c>
      <c r="HU52" s="36" t="str">
        <f t="shared" si="273"/>
        <v/>
      </c>
      <c r="HV52" s="138"/>
      <c r="HW52" s="36" t="str">
        <f t="shared" si="274"/>
        <v/>
      </c>
      <c r="HX52" s="36" t="str">
        <f t="shared" si="275"/>
        <v/>
      </c>
      <c r="HY52" s="36" t="str">
        <f t="shared" si="276"/>
        <v/>
      </c>
      <c r="HZ52" s="36" t="str">
        <f t="shared" si="277"/>
        <v/>
      </c>
      <c r="IA52" s="36" t="str">
        <f t="shared" si="278"/>
        <v/>
      </c>
      <c r="IC52" s="36" t="str">
        <f t="shared" si="350"/>
        <v/>
      </c>
      <c r="ID52" s="36" t="str">
        <f t="shared" si="363"/>
        <v/>
      </c>
      <c r="IE52" s="36" t="str">
        <f t="shared" si="366"/>
        <v/>
      </c>
      <c r="IH52" s="149"/>
      <c r="II52" s="138"/>
      <c r="IJ52" s="36" t="str">
        <f t="shared" si="283"/>
        <v/>
      </c>
      <c r="IM52" s="36" t="str">
        <f>IF(HU52="",IF(HS52="","",HS52),HU52)</f>
        <v/>
      </c>
      <c r="IN52" s="36" t="str">
        <f t="shared" si="286"/>
        <v/>
      </c>
      <c r="IO52" s="36" t="str">
        <f t="shared" si="287"/>
        <v/>
      </c>
      <c r="IP52" s="36" t="str">
        <f>IN46</f>
        <v/>
      </c>
      <c r="IQ52" s="183" t="str">
        <f>D64</f>
        <v/>
      </c>
      <c r="IR52" s="122">
        <v>13</v>
      </c>
      <c r="IS52" s="36" t="str">
        <f>IF(SUM($BH64:$BL64)&gt;1,$BH$2,"")</f>
        <v/>
      </c>
      <c r="IT52" s="36" t="str">
        <f t="shared" si="288"/>
        <v/>
      </c>
      <c r="IU52" s="36" t="str">
        <f t="shared" si="289"/>
        <v/>
      </c>
      <c r="IV52" s="36" t="str">
        <f t="shared" si="290"/>
        <v/>
      </c>
      <c r="IW52" s="36" t="str">
        <f t="shared" si="291"/>
        <v/>
      </c>
      <c r="IX52" s="36" t="str">
        <f t="shared" si="292"/>
        <v/>
      </c>
      <c r="IY52" s="36" t="str">
        <f t="shared" si="293"/>
        <v/>
      </c>
      <c r="IZ52" s="36" t="str">
        <f t="shared" si="294"/>
        <v/>
      </c>
      <c r="JB52" s="36">
        <f t="shared" si="295"/>
        <v>999</v>
      </c>
      <c r="JC52" s="36">
        <f t="shared" si="296"/>
        <v>999</v>
      </c>
      <c r="JD52" s="36" t="str">
        <f t="shared" si="205"/>
        <v/>
      </c>
      <c r="JF52" s="36">
        <f t="shared" si="297"/>
        <v>1</v>
      </c>
      <c r="JG52" s="36">
        <f t="shared" si="298"/>
        <v>0</v>
      </c>
      <c r="JH52" s="36" t="str">
        <f t="shared" si="299"/>
        <v/>
      </c>
      <c r="JI52" s="36">
        <f t="shared" si="300"/>
        <v>0</v>
      </c>
      <c r="JJ52" s="149" t="str">
        <f t="shared" si="361"/>
        <v/>
      </c>
      <c r="JL52" s="36" t="str">
        <f t="shared" si="301"/>
        <v/>
      </c>
      <c r="JM52" s="36" t="str">
        <f t="shared" si="351"/>
        <v/>
      </c>
      <c r="JN52" s="36" t="str">
        <f t="shared" si="302"/>
        <v/>
      </c>
      <c r="JO52" s="36" t="str">
        <f t="shared" si="303"/>
        <v/>
      </c>
      <c r="JP52" s="36" t="str">
        <f t="shared" si="304"/>
        <v/>
      </c>
      <c r="JQ52" s="36" t="str">
        <f t="shared" si="305"/>
        <v/>
      </c>
      <c r="JS52" s="36" t="str">
        <f t="shared" si="306"/>
        <v/>
      </c>
      <c r="JT52" s="36" t="str">
        <f t="shared" si="307"/>
        <v/>
      </c>
      <c r="JU52" s="36" t="str">
        <f t="shared" si="308"/>
        <v/>
      </c>
      <c r="JV52" s="36" t="str">
        <f t="shared" si="309"/>
        <v/>
      </c>
      <c r="JW52" s="36" t="str">
        <f t="shared" si="310"/>
        <v/>
      </c>
      <c r="JX52" s="149" t="str">
        <f t="shared" si="311"/>
        <v/>
      </c>
      <c r="JY52" s="138"/>
      <c r="JZ52" s="36" t="str">
        <f t="shared" si="312"/>
        <v/>
      </c>
      <c r="KB52" s="36" t="str">
        <f t="shared" si="313"/>
        <v/>
      </c>
      <c r="KC52" s="36" t="str">
        <f t="shared" si="314"/>
        <v/>
      </c>
      <c r="KD52" s="36" t="str">
        <f t="shared" si="315"/>
        <v/>
      </c>
      <c r="KF52" s="36" t="str">
        <f>KD46</f>
        <v/>
      </c>
      <c r="KG52" s="183" t="str">
        <f>D64</f>
        <v/>
      </c>
      <c r="KH52" s="122">
        <v>13</v>
      </c>
      <c r="KI52" s="36" t="str">
        <f>IF(SUM($BH64:$BM64)&gt;1,$BH$2,"")</f>
        <v/>
      </c>
      <c r="KJ52" s="36" t="str">
        <f t="shared" si="316"/>
        <v/>
      </c>
      <c r="KK52" s="36" t="str">
        <f t="shared" si="317"/>
        <v/>
      </c>
      <c r="KL52" s="36" t="str">
        <f t="shared" si="318"/>
        <v/>
      </c>
      <c r="KM52" s="36" t="str">
        <f t="shared" si="319"/>
        <v/>
      </c>
      <c r="KN52" s="36" t="str">
        <f t="shared" si="320"/>
        <v/>
      </c>
      <c r="KO52" s="36" t="str">
        <f t="shared" si="321"/>
        <v/>
      </c>
      <c r="KP52" s="36" t="str">
        <f t="shared" si="322"/>
        <v/>
      </c>
      <c r="KQ52" s="36" t="str">
        <f t="shared" si="323"/>
        <v/>
      </c>
      <c r="KS52" s="36">
        <f t="shared" si="324"/>
        <v>999</v>
      </c>
      <c r="KT52" s="36">
        <f t="shared" si="325"/>
        <v>999</v>
      </c>
      <c r="KU52" s="36" t="str">
        <f t="shared" si="206"/>
        <v/>
      </c>
      <c r="KW52" s="36">
        <f t="shared" si="326"/>
        <v>1</v>
      </c>
      <c r="KX52" s="36">
        <f t="shared" si="327"/>
        <v>0</v>
      </c>
      <c r="KY52" s="36" t="str">
        <f t="shared" si="352"/>
        <v/>
      </c>
      <c r="KZ52" s="36">
        <f t="shared" si="328"/>
        <v>0</v>
      </c>
      <c r="LA52" s="149" t="str">
        <f t="shared" si="329"/>
        <v/>
      </c>
      <c r="LC52" s="36" t="str">
        <f t="shared" si="330"/>
        <v/>
      </c>
      <c r="LD52" s="36" t="str">
        <f t="shared" si="331"/>
        <v/>
      </c>
      <c r="LE52" s="36" t="str">
        <f t="shared" si="332"/>
        <v/>
      </c>
      <c r="LF52" s="36" t="str">
        <f t="shared" si="333"/>
        <v/>
      </c>
      <c r="LG52" s="36" t="str">
        <f t="shared" si="334"/>
        <v/>
      </c>
      <c r="LH52" s="36" t="str">
        <f t="shared" si="335"/>
        <v/>
      </c>
      <c r="LI52" s="36" t="str">
        <f t="shared" si="336"/>
        <v/>
      </c>
      <c r="LJ52" s="36" t="str">
        <f t="shared" si="337"/>
        <v/>
      </c>
      <c r="LK52" s="36" t="str">
        <f t="shared" si="362"/>
        <v/>
      </c>
      <c r="LL52" s="36" t="str">
        <f t="shared" si="338"/>
        <v/>
      </c>
      <c r="LM52" s="36" t="str">
        <f t="shared" si="339"/>
        <v/>
      </c>
      <c r="LN52" s="36" t="str">
        <f t="shared" si="340"/>
        <v/>
      </c>
      <c r="LO52" s="149" t="str">
        <f t="shared" si="341"/>
        <v/>
      </c>
      <c r="LP52" s="138"/>
      <c r="LQ52" s="36" t="str">
        <f t="shared" si="342"/>
        <v/>
      </c>
      <c r="LS52" s="36" t="str">
        <f t="shared" si="353"/>
        <v/>
      </c>
      <c r="LT52" s="36" t="str">
        <f t="shared" si="343"/>
        <v/>
      </c>
      <c r="LU52" s="36" t="str">
        <f t="shared" si="208"/>
        <v/>
      </c>
      <c r="LW52" s="153" t="str">
        <f>LU46</f>
        <v/>
      </c>
      <c r="LX52" s="152"/>
    </row>
    <row r="53" spans="1:336" ht="14.25" customHeight="1" thickBot="1" x14ac:dyDescent="0.3">
      <c r="A53" s="375"/>
      <c r="B53" s="374"/>
      <c r="C53" s="363"/>
      <c r="D53" s="362"/>
      <c r="E53" s="346"/>
      <c r="F53" s="29"/>
      <c r="G53" s="30"/>
      <c r="H53" s="346"/>
      <c r="I53" s="29"/>
      <c r="J53" s="30"/>
      <c r="K53" s="334"/>
      <c r="L53" s="29"/>
      <c r="M53" s="30"/>
      <c r="N53" s="334"/>
      <c r="O53" s="29"/>
      <c r="P53" s="30"/>
      <c r="Q53" s="334"/>
      <c r="R53" s="29"/>
      <c r="S53" s="30"/>
      <c r="T53" s="334"/>
      <c r="U53" s="29"/>
      <c r="V53" s="30"/>
      <c r="W53" s="337"/>
      <c r="X53" s="29"/>
      <c r="Y53" s="30"/>
      <c r="Z53" s="338"/>
      <c r="AA53" s="335"/>
      <c r="AB53" s="336"/>
      <c r="AC53" s="355"/>
      <c r="AD53" s="327"/>
      <c r="AE53" s="328"/>
      <c r="AG53" s="252">
        <v>14</v>
      </c>
      <c r="AH53" s="138" t="str">
        <f t="shared" si="209"/>
        <v/>
      </c>
      <c r="AI53" s="177"/>
      <c r="AJ53" s="36" t="str">
        <f t="shared" si="364"/>
        <v/>
      </c>
      <c r="AK53" s="149" t="str">
        <f t="shared" si="365"/>
        <v/>
      </c>
      <c r="AM53" s="138" t="str">
        <f t="shared" si="354"/>
        <v/>
      </c>
      <c r="AO53" s="36" t="str">
        <f>IF(FR53="",(IF(AM53="","",(IF(FO53=$BQ$2,$BQ$2,IF((AN53)="","",AN53))))),FR53)</f>
        <v/>
      </c>
      <c r="AP53" s="149" t="str">
        <f>IF($H$5="","",(FM53))</f>
        <v/>
      </c>
      <c r="AR53" s="138"/>
      <c r="AU53" s="149"/>
      <c r="AW53" s="138"/>
      <c r="AZ53" s="149"/>
      <c r="BB53" s="138"/>
      <c r="BE53" s="149"/>
      <c r="BH53" s="36" t="str">
        <f>IF(E53=$BQ$2,"",(IF(A53="","",(IF(F53="","",(IF(F53&lt;2,1,0)))))))</f>
        <v/>
      </c>
      <c r="BI53" s="36" t="str">
        <f>IF(H53=$BQ$2,"",(IF(A53="","",(IF(I53="","",(IF(I53&lt;2,1,0)))))))</f>
        <v/>
      </c>
      <c r="BJ53" s="36" t="str">
        <f>IF(K53=$BQ$2,"",(IF(A53="","",(IF(L53="","",(IF(L53&lt;2,1,0)))))))</f>
        <v/>
      </c>
      <c r="BK53" s="36" t="str">
        <f>IF(W53=$BQ$2,"",(IF(A53="","",(IF(X53="","",(IF(X53&lt;2,1,0)))))))</f>
        <v/>
      </c>
      <c r="BP53" s="36" t="str">
        <f>IF(BH53="","",(SUM(BH53:BK53)))</f>
        <v/>
      </c>
      <c r="BR53" s="36" t="str">
        <f>BP66</f>
        <v/>
      </c>
      <c r="BS53" s="36" t="str">
        <f>D66</f>
        <v/>
      </c>
      <c r="BT53" s="122" t="str">
        <f>IF(SUM(BH66,BI66)=2,$BH$2,"")</f>
        <v/>
      </c>
      <c r="BV53" s="36">
        <f t="shared" si="191"/>
        <v>999</v>
      </c>
      <c r="BW53" s="36">
        <f t="shared" si="192"/>
        <v>999</v>
      </c>
      <c r="BX53" s="36">
        <f t="shared" si="344"/>
        <v>14</v>
      </c>
      <c r="BY53" s="36">
        <f t="shared" si="218"/>
        <v>999</v>
      </c>
      <c r="CB53" s="122">
        <v>14</v>
      </c>
      <c r="CC53" s="36">
        <f>IF((D66)="",0,D66)</f>
        <v>0</v>
      </c>
      <c r="CD53" s="36">
        <f t="shared" si="219"/>
        <v>0</v>
      </c>
      <c r="CE53" s="36">
        <f t="shared" si="220"/>
        <v>0</v>
      </c>
      <c r="CH53" s="36">
        <f t="shared" si="345"/>
        <v>0</v>
      </c>
      <c r="CI53" s="36">
        <f t="shared" si="221"/>
        <v>0</v>
      </c>
      <c r="CJ53" s="36">
        <f t="shared" si="222"/>
        <v>0</v>
      </c>
      <c r="CM53" s="36">
        <f t="shared" si="346"/>
        <v>0</v>
      </c>
      <c r="CO53" s="36">
        <f t="shared" si="223"/>
        <v>0</v>
      </c>
      <c r="CP53" s="36" t="str">
        <f t="shared" si="224"/>
        <v/>
      </c>
      <c r="CQ53" s="36">
        <f t="shared" si="225"/>
        <v>999</v>
      </c>
      <c r="CR53" s="36">
        <f t="shared" si="226"/>
        <v>14</v>
      </c>
      <c r="CS53" s="36">
        <f t="shared" si="227"/>
        <v>15</v>
      </c>
      <c r="CT53" s="36">
        <f t="shared" si="193"/>
        <v>999</v>
      </c>
      <c r="CU53" s="36" t="str">
        <f t="shared" si="228"/>
        <v/>
      </c>
      <c r="CV53" s="36">
        <f t="shared" si="229"/>
        <v>0</v>
      </c>
      <c r="CW53" s="36">
        <f t="shared" si="230"/>
        <v>0</v>
      </c>
      <c r="CX53" s="149" t="str">
        <f t="shared" si="231"/>
        <v/>
      </c>
      <c r="DA53" s="36" t="str">
        <f>D66</f>
        <v/>
      </c>
      <c r="DB53" s="36" t="str">
        <f>E66</f>
        <v/>
      </c>
      <c r="DC53" s="36" t="str">
        <f>H66</f>
        <v/>
      </c>
      <c r="DD53" s="36" t="str">
        <f t="shared" si="232"/>
        <v/>
      </c>
      <c r="DF53" s="36" t="str">
        <f t="shared" si="233"/>
        <v/>
      </c>
      <c r="DG53" s="36" t="str">
        <f t="shared" si="234"/>
        <v/>
      </c>
      <c r="DH53" s="36" t="str">
        <f t="shared" si="235"/>
        <v/>
      </c>
      <c r="DI53" s="36" t="str">
        <f t="shared" si="194"/>
        <v/>
      </c>
      <c r="DJ53" s="36" t="str">
        <f t="shared" si="236"/>
        <v/>
      </c>
      <c r="DL53" s="36" t="str">
        <f t="shared" si="195"/>
        <v/>
      </c>
      <c r="DM53" s="149" t="str">
        <f t="shared" si="237"/>
        <v/>
      </c>
      <c r="DN53" s="36" t="str">
        <f t="shared" si="238"/>
        <v/>
      </c>
      <c r="DO53" s="36" t="str">
        <f t="shared" si="239"/>
        <v/>
      </c>
      <c r="DP53" s="36" t="str">
        <f t="shared" si="240"/>
        <v/>
      </c>
      <c r="DR53" s="36" t="str">
        <f t="shared" si="241"/>
        <v/>
      </c>
      <c r="DS53" s="36" t="str">
        <f t="shared" si="242"/>
        <v/>
      </c>
      <c r="DT53" s="36" t="str">
        <f t="shared" si="243"/>
        <v/>
      </c>
      <c r="DX53" s="152" t="str">
        <f t="shared" si="244"/>
        <v/>
      </c>
      <c r="DY53" s="36" t="str">
        <f t="shared" si="245"/>
        <v/>
      </c>
      <c r="DZ53" s="36" t="str">
        <f t="shared" si="246"/>
        <v/>
      </c>
      <c r="EA53" s="36" t="str">
        <f t="shared" si="247"/>
        <v/>
      </c>
      <c r="EB53" s="173" t="str">
        <f t="shared" si="248"/>
        <v/>
      </c>
      <c r="EC53" s="36" t="str">
        <f>D66</f>
        <v/>
      </c>
      <c r="ED53" s="122">
        <v>14</v>
      </c>
      <c r="EE53" s="36" t="str">
        <f t="shared" si="249"/>
        <v/>
      </c>
      <c r="EF53" s="36">
        <f t="shared" si="250"/>
        <v>0</v>
      </c>
      <c r="EG53" s="36" t="str">
        <f>IF(SUM($BH$66:$BJ$66)=2,$BH$2,"")</f>
        <v/>
      </c>
      <c r="EH53" s="36" t="str">
        <f>IF(EE53="","",(INDEX(EG40:EG55,EE53-$CO$39)))</f>
        <v/>
      </c>
      <c r="EJ53" s="36">
        <f t="shared" si="251"/>
        <v>999</v>
      </c>
      <c r="EK53" s="36">
        <f>SMALL(EJ40:EJ55,ED53)</f>
        <v>999</v>
      </c>
      <c r="EL53" s="36" t="str">
        <f t="shared" si="356"/>
        <v/>
      </c>
      <c r="EM53" s="36">
        <f t="shared" si="252"/>
        <v>1</v>
      </c>
      <c r="EN53" s="36">
        <f t="shared" si="253"/>
        <v>0</v>
      </c>
      <c r="EQ53" s="36" t="str">
        <f t="shared" si="359"/>
        <v/>
      </c>
      <c r="ER53" s="36">
        <f t="shared" si="254"/>
        <v>0</v>
      </c>
      <c r="ES53" s="36">
        <f t="shared" si="255"/>
        <v>0</v>
      </c>
      <c r="ET53" s="149" t="str">
        <f t="shared" si="256"/>
        <v/>
      </c>
      <c r="EV53" s="36" t="str">
        <f>D66</f>
        <v/>
      </c>
      <c r="EW53" s="36" t="str">
        <f>E66</f>
        <v/>
      </c>
      <c r="EX53" s="36" t="str">
        <f>H66</f>
        <v/>
      </c>
      <c r="EY53" s="36" t="str">
        <f>K66</f>
        <v/>
      </c>
      <c r="EZ53" s="36" t="str">
        <f t="shared" si="257"/>
        <v/>
      </c>
      <c r="FB53" s="36" t="str">
        <f t="shared" si="258"/>
        <v/>
      </c>
      <c r="FC53" s="36" t="str">
        <f t="shared" si="259"/>
        <v/>
      </c>
      <c r="FD53" s="36" t="str">
        <f t="shared" si="196"/>
        <v/>
      </c>
      <c r="FE53" s="36" t="str">
        <f t="shared" si="197"/>
        <v/>
      </c>
      <c r="FF53" s="36" t="str">
        <f t="shared" si="198"/>
        <v/>
      </c>
      <c r="FG53" s="36" t="str">
        <f t="shared" si="199"/>
        <v/>
      </c>
      <c r="FI53" s="36" t="str">
        <f t="shared" si="260"/>
        <v/>
      </c>
      <c r="FL53" s="36" t="str">
        <f t="shared" si="261"/>
        <v/>
      </c>
      <c r="FM53" s="36" t="str">
        <f t="shared" si="347"/>
        <v/>
      </c>
      <c r="FN53" s="36" t="str">
        <f t="shared" si="262"/>
        <v/>
      </c>
      <c r="FO53" s="36" t="str">
        <f t="shared" si="263"/>
        <v/>
      </c>
      <c r="FP53" s="36" t="str">
        <f>IF(FN53="","",(IF(FO53="",(IF(FN53=FO40,FN40,IF(FN53=FO41,FN41,IF(FN53=FO42,FN42,IF(FN53=FO43,FN43,IF(FN53=FO44,FN44,IF(FN53=FO45,FN45,IF(FN53=FO46,FN46,IF(FN53=FO47,FN47,""))))))))),FO53)))</f>
        <v/>
      </c>
      <c r="FQ53" s="36" t="str">
        <f>IF(FN53="","",(IF(FN53=FO48,FN48,IF(FN53=FO49,FN49,IF(FN53=FO50,FN50,IF(FN53=FO51,FN51,IF(FN53=FO52,FN52,IF(FN53=FO53,FN53,IF(FN53=FO54,FN54,IF(FN53=FO55,FN55,""))))))))))</f>
        <v/>
      </c>
      <c r="FR53" s="173" t="str">
        <f t="shared" si="264"/>
        <v/>
      </c>
      <c r="FT53" s="36">
        <f t="shared" si="348"/>
        <v>17</v>
      </c>
      <c r="FV53" s="36" t="str">
        <f t="shared" si="265"/>
        <v/>
      </c>
      <c r="FW53" s="36" t="str">
        <f>IF(FT53=FN48,FR48,IF(FT53=FN49,FR49,IF(FT53=FN50,FR50,IF(FT53=FN51,FR51,IF(FT53=FN52,FR52,IF(FT53=FN53,FR53,IF(FT53=FN54,FR54,IF(FT53=FN55,FR55,""))))))))</f>
        <v/>
      </c>
      <c r="FX53" s="36" t="str">
        <f t="shared" si="266"/>
        <v/>
      </c>
      <c r="GA53" s="152"/>
      <c r="GB53" s="122">
        <v>14</v>
      </c>
      <c r="GC53" s="36" t="str">
        <f>IF(D66="","",D66)</f>
        <v/>
      </c>
      <c r="GD53" s="36" t="str">
        <f>IF(E66="","",E66)</f>
        <v/>
      </c>
      <c r="GE53" s="36" t="str">
        <f>IF(H66="","",H66)</f>
        <v/>
      </c>
      <c r="GF53" s="36" t="str">
        <f>IF(K66="","",K66)</f>
        <v/>
      </c>
      <c r="GG53" s="36" t="str">
        <f>IF(N66="","",N66)</f>
        <v/>
      </c>
      <c r="GH53" s="36" t="str">
        <f>IF(Q66="","",Q66)</f>
        <v/>
      </c>
      <c r="GI53" s="36" t="str">
        <f>IF(T66="","",T66)</f>
        <v/>
      </c>
      <c r="GJ53" s="36" t="str">
        <f>IF(W66="","",W66)</f>
        <v/>
      </c>
      <c r="GK53" s="36" t="str">
        <f>IF(C66="","",C66)</f>
        <v/>
      </c>
      <c r="GM53" s="36" t="str">
        <f>IF(F66="","",F66)</f>
        <v/>
      </c>
      <c r="GN53" s="36" t="str">
        <f>IF(I66="","",I66)</f>
        <v/>
      </c>
      <c r="GO53" s="36" t="str">
        <f>IF(L66="","",L66)</f>
        <v/>
      </c>
      <c r="GP53" s="36" t="str">
        <f>IF(O66="","",O66)</f>
        <v/>
      </c>
      <c r="GQ53" s="36" t="str">
        <f>IF(R66="","",R66)</f>
        <v/>
      </c>
      <c r="GR53" s="36" t="str">
        <f>IF(U66="","",U66)</f>
        <v/>
      </c>
      <c r="GS53" s="36" t="str">
        <f>IF(X66="","",X66)</f>
        <v/>
      </c>
      <c r="GU53" s="36" t="str">
        <f>IF(F67="","",F67)</f>
        <v/>
      </c>
      <c r="GV53" s="36" t="str">
        <f>IF(I67="","",I67)</f>
        <v/>
      </c>
      <c r="GW53" s="36" t="str">
        <f>IF(L67="","",L67)</f>
        <v/>
      </c>
      <c r="GX53" s="36" t="str">
        <f>IF(O67="","",O67)</f>
        <v/>
      </c>
      <c r="GY53" s="36" t="str">
        <f>IF(R67="","",R67)</f>
        <v/>
      </c>
      <c r="GZ53" s="36" t="str">
        <f>IF(U67="","",U67)</f>
        <v/>
      </c>
      <c r="HA53" s="153" t="str">
        <f>IF(X67="","",X67)</f>
        <v/>
      </c>
      <c r="HB53" s="183" t="str">
        <f>D66</f>
        <v/>
      </c>
      <c r="HC53" s="122">
        <v>14</v>
      </c>
      <c r="HD53" s="36" t="str">
        <f>IF(SUM($BH66:$BK66)&gt;=2,$BH$2,"")</f>
        <v/>
      </c>
      <c r="HE53" s="36" t="str">
        <f t="shared" si="267"/>
        <v/>
      </c>
      <c r="HF53" s="36" t="str">
        <f t="shared" si="200"/>
        <v/>
      </c>
      <c r="HG53" s="36" t="str">
        <f t="shared" si="201"/>
        <v/>
      </c>
      <c r="HH53" s="36" t="str">
        <f t="shared" si="202"/>
        <v/>
      </c>
      <c r="HI53" s="36" t="str">
        <f t="shared" si="203"/>
        <v/>
      </c>
      <c r="HK53" s="36" t="str">
        <f t="shared" si="360"/>
        <v/>
      </c>
      <c r="HM53" s="36">
        <f t="shared" si="268"/>
        <v>999</v>
      </c>
      <c r="HN53" s="36">
        <f t="shared" si="269"/>
        <v>999</v>
      </c>
      <c r="HO53" s="36" t="str">
        <f t="shared" si="204"/>
        <v/>
      </c>
      <c r="HQ53" s="36">
        <f t="shared" si="270"/>
        <v>1</v>
      </c>
      <c r="HR53" s="36">
        <f t="shared" si="271"/>
        <v>0</v>
      </c>
      <c r="HS53" s="36" t="str">
        <f t="shared" si="349"/>
        <v/>
      </c>
      <c r="HT53" s="36">
        <f t="shared" si="272"/>
        <v>0</v>
      </c>
      <c r="HU53" s="36" t="str">
        <f t="shared" si="273"/>
        <v/>
      </c>
      <c r="HV53" s="138"/>
      <c r="HW53" s="36" t="str">
        <f t="shared" si="274"/>
        <v/>
      </c>
      <c r="HX53" s="36" t="str">
        <f t="shared" si="275"/>
        <v/>
      </c>
      <c r="HY53" s="36" t="str">
        <f t="shared" si="276"/>
        <v/>
      </c>
      <c r="HZ53" s="36" t="str">
        <f t="shared" si="277"/>
        <v/>
      </c>
      <c r="IA53" s="36" t="str">
        <f t="shared" si="278"/>
        <v/>
      </c>
      <c r="IC53" s="36" t="str">
        <f t="shared" si="350"/>
        <v/>
      </c>
      <c r="ID53" s="36" t="str">
        <f t="shared" si="363"/>
        <v/>
      </c>
      <c r="IE53" s="36" t="str">
        <f t="shared" si="366"/>
        <v/>
      </c>
      <c r="IH53" s="149"/>
      <c r="II53" s="138"/>
      <c r="IJ53" s="36" t="str">
        <f t="shared" si="283"/>
        <v/>
      </c>
      <c r="IN53" s="36" t="str">
        <f t="shared" si="286"/>
        <v/>
      </c>
      <c r="IO53" s="36" t="str">
        <f t="shared" si="287"/>
        <v/>
      </c>
      <c r="IQ53" s="183" t="str">
        <f>D66</f>
        <v/>
      </c>
      <c r="IR53" s="122">
        <v>14</v>
      </c>
      <c r="IS53" s="36" t="str">
        <f>IF(SUM($BH66:$BL66)&gt;1,$BH$2,"")</f>
        <v/>
      </c>
      <c r="IT53" s="36" t="str">
        <f t="shared" si="288"/>
        <v/>
      </c>
      <c r="IU53" s="36" t="str">
        <f t="shared" si="289"/>
        <v/>
      </c>
      <c r="IV53" s="36" t="str">
        <f t="shared" si="290"/>
        <v/>
      </c>
      <c r="IW53" s="36" t="str">
        <f t="shared" si="291"/>
        <v/>
      </c>
      <c r="IX53" s="36" t="str">
        <f t="shared" si="292"/>
        <v/>
      </c>
      <c r="IY53" s="36" t="str">
        <f t="shared" si="293"/>
        <v/>
      </c>
      <c r="IZ53" s="36" t="str">
        <f t="shared" si="294"/>
        <v/>
      </c>
      <c r="JB53" s="36">
        <f t="shared" si="295"/>
        <v>999</v>
      </c>
      <c r="JC53" s="36">
        <f t="shared" si="296"/>
        <v>999</v>
      </c>
      <c r="JD53" s="36" t="str">
        <f t="shared" si="205"/>
        <v/>
      </c>
      <c r="JF53" s="36">
        <f t="shared" si="297"/>
        <v>1</v>
      </c>
      <c r="JG53" s="36">
        <f t="shared" si="298"/>
        <v>0</v>
      </c>
      <c r="JH53" s="36" t="str">
        <f t="shared" si="299"/>
        <v/>
      </c>
      <c r="JI53" s="36">
        <f t="shared" si="300"/>
        <v>0</v>
      </c>
      <c r="JJ53" s="149" t="str">
        <f t="shared" si="361"/>
        <v/>
      </c>
      <c r="JM53" s="36" t="str">
        <f>IF(JH53="","",(INDEX($GD$7:$GD$22,$HS53)))</f>
        <v/>
      </c>
      <c r="JN53" s="36" t="str">
        <f>IF(JH53="","",(INDEX($GE$7:$GE$22,$HS53)))</f>
        <v/>
      </c>
      <c r="JO53" s="36" t="str">
        <f t="shared" si="303"/>
        <v/>
      </c>
      <c r="JP53" s="36" t="str">
        <f>IF(JH53="","",(INDEX($GG$7:$GG$22,$HS53)))</f>
        <v/>
      </c>
      <c r="JQ53" s="36" t="str">
        <f>IF(JH53="","",(INDEX($GH$7:$GH$22,$HS53)))</f>
        <v/>
      </c>
      <c r="JX53" s="149" t="str">
        <f>IF(JS53="",IF(JT53="",IF(JW53="",IF(JU53="","",JU53),JW53),JT53),JS53)</f>
        <v/>
      </c>
      <c r="JY53" s="138"/>
      <c r="JZ53" s="36" t="str">
        <f t="shared" si="312"/>
        <v/>
      </c>
      <c r="KB53" s="36" t="str">
        <f t="shared" si="313"/>
        <v/>
      </c>
      <c r="KC53" s="36" t="str">
        <f t="shared" si="314"/>
        <v/>
      </c>
      <c r="KD53" s="36" t="str">
        <f t="shared" si="315"/>
        <v/>
      </c>
      <c r="KG53" s="183" t="str">
        <f>D66</f>
        <v/>
      </c>
      <c r="KH53" s="122">
        <v>14</v>
      </c>
      <c r="KI53" s="36" t="str">
        <f>IF(SUM($BH66:$BM66)&gt;1,$BH$2,"")</f>
        <v/>
      </c>
      <c r="KJ53" s="36" t="str">
        <f t="shared" si="316"/>
        <v/>
      </c>
      <c r="KK53" s="36" t="str">
        <f t="shared" si="317"/>
        <v/>
      </c>
      <c r="KL53" s="36" t="str">
        <f t="shared" si="318"/>
        <v/>
      </c>
      <c r="KM53" s="36" t="str">
        <f t="shared" si="319"/>
        <v/>
      </c>
      <c r="KN53" s="36" t="str">
        <f t="shared" si="320"/>
        <v/>
      </c>
      <c r="KO53" s="36" t="str">
        <f t="shared" si="321"/>
        <v/>
      </c>
      <c r="KP53" s="36" t="str">
        <f t="shared" si="322"/>
        <v/>
      </c>
      <c r="KQ53" s="36" t="str">
        <f t="shared" si="323"/>
        <v/>
      </c>
      <c r="KS53" s="36">
        <f t="shared" si="324"/>
        <v>999</v>
      </c>
      <c r="KT53" s="36">
        <f t="shared" si="325"/>
        <v>999</v>
      </c>
      <c r="KU53" s="36" t="str">
        <f t="shared" si="206"/>
        <v/>
      </c>
      <c r="KW53" s="36">
        <f t="shared" si="326"/>
        <v>1</v>
      </c>
      <c r="KX53" s="36">
        <f t="shared" si="327"/>
        <v>0</v>
      </c>
      <c r="KY53" s="36" t="str">
        <f t="shared" si="352"/>
        <v/>
      </c>
      <c r="KZ53" s="36">
        <f t="shared" si="328"/>
        <v>0</v>
      </c>
      <c r="LA53" s="149" t="str">
        <f t="shared" si="329"/>
        <v/>
      </c>
      <c r="LC53" s="36" t="str">
        <f t="shared" si="330"/>
        <v/>
      </c>
      <c r="LD53" s="36" t="str">
        <f t="shared" si="331"/>
        <v/>
      </c>
      <c r="LE53" s="36" t="str">
        <f t="shared" si="332"/>
        <v/>
      </c>
      <c r="LF53" s="36" t="str">
        <f t="shared" si="333"/>
        <v/>
      </c>
      <c r="LG53" s="36" t="str">
        <f t="shared" si="334"/>
        <v/>
      </c>
      <c r="LH53" s="36" t="str">
        <f t="shared" si="335"/>
        <v/>
      </c>
      <c r="LI53" s="36" t="str">
        <f t="shared" si="336"/>
        <v/>
      </c>
      <c r="LJ53" s="36" t="str">
        <f t="shared" si="337"/>
        <v/>
      </c>
      <c r="LK53" s="36" t="str">
        <f t="shared" si="362"/>
        <v/>
      </c>
      <c r="LL53" s="36" t="str">
        <f t="shared" si="338"/>
        <v/>
      </c>
      <c r="LM53" s="36" t="str">
        <f t="shared" si="339"/>
        <v/>
      </c>
      <c r="LN53" s="36" t="str">
        <f t="shared" si="340"/>
        <v/>
      </c>
      <c r="LO53" s="149" t="str">
        <f t="shared" si="341"/>
        <v/>
      </c>
      <c r="LP53" s="138"/>
      <c r="LQ53" s="36" t="str">
        <f t="shared" si="342"/>
        <v/>
      </c>
      <c r="LS53" s="36" t="str">
        <f t="shared" si="353"/>
        <v/>
      </c>
      <c r="LT53" s="36" t="str">
        <f t="shared" si="343"/>
        <v/>
      </c>
      <c r="LU53" s="36" t="str">
        <f t="shared" si="208"/>
        <v/>
      </c>
      <c r="LW53" s="153"/>
      <c r="LX53" s="152"/>
    </row>
    <row r="54" spans="1:336" ht="14.25" customHeight="1" thickBot="1" x14ac:dyDescent="0.3">
      <c r="A54" s="375" t="str">
        <f>'Vážní listina'!HQ53</f>
        <v/>
      </c>
      <c r="B54" s="374" t="str">
        <f>'Vážní listina'!HR53</f>
        <v/>
      </c>
      <c r="C54" s="363" t="str">
        <f>IF(BP54="","",(IF(BP54&gt;1,$BH$2,"")))</f>
        <v/>
      </c>
      <c r="D54" s="361" t="str">
        <f>'Vážní listina'!HK53</f>
        <v/>
      </c>
      <c r="E54" s="343" t="str">
        <f>'Vážní listina'!HL53</f>
        <v/>
      </c>
      <c r="F54" s="26"/>
      <c r="G54" s="32"/>
      <c r="H54" s="334" t="str">
        <f>IF(H5="","",'Vážní listina'!HM53)</f>
        <v/>
      </c>
      <c r="I54" s="26"/>
      <c r="J54" s="32"/>
      <c r="K54" s="334" t="str">
        <f>IF(K5="","",DV54)</f>
        <v/>
      </c>
      <c r="L54" s="26"/>
      <c r="M54" s="32"/>
      <c r="N54" s="334" t="str">
        <f>IF(N5="","",FZ54)</f>
        <v/>
      </c>
      <c r="O54" s="26"/>
      <c r="P54" s="32"/>
      <c r="Q54" s="334" t="str">
        <f>IF(Q5="","",IP54)</f>
        <v/>
      </c>
      <c r="R54" s="26"/>
      <c r="S54" s="32"/>
      <c r="T54" s="334" t="str">
        <f>IF(T5="","",KF54)</f>
        <v/>
      </c>
      <c r="U54" s="26"/>
      <c r="V54" s="32"/>
      <c r="W54" s="337" t="str">
        <f>IF(W5="","",LW54)</f>
        <v/>
      </c>
      <c r="X54" s="26"/>
      <c r="Y54" s="32"/>
      <c r="Z54" s="338" t="str">
        <f>IF(A54="","",(F54+I54+L54+O54+R54+U54+X54))</f>
        <v/>
      </c>
      <c r="AA54" s="335" t="str">
        <f>IF(A54="","",(F55+I55+L55+O55+R55+U55+X55))</f>
        <v/>
      </c>
      <c r="AB54" s="336" t="str">
        <f>IF(A54="","",(G54+J54+M54+P54+S54+V54+Y54))</f>
        <v/>
      </c>
      <c r="AC54" s="355" t="str">
        <f>HF126</f>
        <v/>
      </c>
      <c r="AD54" s="328"/>
      <c r="AE54" s="328" t="str">
        <f>IF(D54="","",(IF('Tabulka finále'!$BK$47=1,(IF('Tabulka finále'!$K$56="","",(IF($AC$5="","",(IF($H$5="","",(FW164))))))),"")))</f>
        <v/>
      </c>
      <c r="AG54" s="252">
        <v>15</v>
      </c>
      <c r="AH54" s="138" t="str">
        <f t="shared" si="209"/>
        <v/>
      </c>
      <c r="AI54" s="177"/>
      <c r="AJ54" s="36" t="str">
        <f t="shared" si="364"/>
        <v/>
      </c>
      <c r="AK54" s="149" t="str">
        <f t="shared" si="365"/>
        <v/>
      </c>
      <c r="AM54" s="138" t="str">
        <f t="shared" si="354"/>
        <v/>
      </c>
      <c r="AO54" s="36" t="str">
        <f>IF(FR54="",(IF(AM54="","",(IF(FO54=$BQ$2,$BQ$2,IF((AN54)="","",AN54))))),FR54)</f>
        <v/>
      </c>
      <c r="AP54" s="149" t="str">
        <f>IF($H$5="","",(FM54))</f>
        <v/>
      </c>
      <c r="AR54" s="138"/>
      <c r="AU54" s="149"/>
      <c r="AW54" s="138"/>
      <c r="AZ54" s="149"/>
      <c r="BB54" s="138"/>
      <c r="BE54" s="149"/>
      <c r="BG54" s="36">
        <f>IF(A54="",0,1)</f>
        <v>0</v>
      </c>
      <c r="BH54" s="36" t="str">
        <f>(IF(F54="","",(IF(F54&lt;2,1,0))))</f>
        <v/>
      </c>
      <c r="BI54" s="36" t="str">
        <f>(IF(I54="","",(IF(I54&lt;2,1,0))))</f>
        <v/>
      </c>
      <c r="BJ54" s="36" t="str">
        <f>(IF(L54="","",(IF(L54&lt;2,1,0))))</f>
        <v/>
      </c>
      <c r="BK54" s="36" t="str">
        <f>(IF(O54="","",(IF(O54&lt;2,1,0))))</f>
        <v/>
      </c>
      <c r="BL54" s="36" t="str">
        <f>IF(R54="","",(IF(R54&lt;2,1,0)))</f>
        <v/>
      </c>
      <c r="BM54" s="36" t="str">
        <f>IF(U54="","",(IF(U54&lt;2,1,0)))</f>
        <v/>
      </c>
      <c r="BN54" s="36" t="str">
        <f>IF(X54="","",(IF(X54&lt;2,1,0)))</f>
        <v/>
      </c>
      <c r="BP54" s="36" t="str">
        <f>IF(BG54=0,"",(SUM(BH54:BN54)))</f>
        <v/>
      </c>
      <c r="BR54" s="36" t="str">
        <f>BP68</f>
        <v/>
      </c>
      <c r="BS54" s="36" t="str">
        <f>D68</f>
        <v/>
      </c>
      <c r="BT54" s="122" t="str">
        <f>IF(SUM(BH68,BI68)=2,$BH$2,"")</f>
        <v/>
      </c>
      <c r="BV54" s="36">
        <f t="shared" si="191"/>
        <v>999</v>
      </c>
      <c r="BW54" s="36">
        <f t="shared" si="192"/>
        <v>999</v>
      </c>
      <c r="BX54" s="36">
        <f t="shared" si="344"/>
        <v>15</v>
      </c>
      <c r="BY54" s="36">
        <f t="shared" si="218"/>
        <v>999</v>
      </c>
      <c r="CB54" s="122">
        <v>15</v>
      </c>
      <c r="CC54" s="36">
        <f>IF((D68)="",0,D68)</f>
        <v>0</v>
      </c>
      <c r="CD54" s="36">
        <f t="shared" si="219"/>
        <v>0</v>
      </c>
      <c r="CE54" s="36">
        <f t="shared" si="220"/>
        <v>0</v>
      </c>
      <c r="CH54" s="36">
        <f t="shared" si="345"/>
        <v>0</v>
      </c>
      <c r="CI54" s="36">
        <f t="shared" si="221"/>
        <v>0</v>
      </c>
      <c r="CJ54" s="36">
        <f t="shared" si="222"/>
        <v>0</v>
      </c>
      <c r="CM54" s="36">
        <f t="shared" si="346"/>
        <v>0</v>
      </c>
      <c r="CO54" s="36">
        <f t="shared" si="223"/>
        <v>0</v>
      </c>
      <c r="CP54" s="36" t="str">
        <f t="shared" si="224"/>
        <v/>
      </c>
      <c r="CQ54" s="36">
        <f t="shared" si="225"/>
        <v>999</v>
      </c>
      <c r="CR54" s="36">
        <f t="shared" si="226"/>
        <v>15</v>
      </c>
      <c r="CS54" s="36">
        <f t="shared" si="227"/>
        <v>16</v>
      </c>
      <c r="CT54" s="36">
        <f t="shared" si="193"/>
        <v>999</v>
      </c>
      <c r="CU54" s="36" t="str">
        <f t="shared" si="228"/>
        <v/>
      </c>
      <c r="CV54" s="36">
        <f t="shared" si="229"/>
        <v>0</v>
      </c>
      <c r="CW54" s="36">
        <f t="shared" si="230"/>
        <v>0</v>
      </c>
      <c r="CX54" s="149" t="str">
        <f t="shared" si="231"/>
        <v/>
      </c>
      <c r="DA54" s="36" t="str">
        <f>D68</f>
        <v/>
      </c>
      <c r="DB54" s="36" t="str">
        <f>E68</f>
        <v/>
      </c>
      <c r="DC54" s="36" t="str">
        <f>H68</f>
        <v/>
      </c>
      <c r="DD54" s="36" t="str">
        <f t="shared" si="232"/>
        <v/>
      </c>
      <c r="DF54" s="36" t="str">
        <f t="shared" si="233"/>
        <v/>
      </c>
      <c r="DG54" s="36" t="str">
        <f t="shared" si="234"/>
        <v/>
      </c>
      <c r="DH54" s="36" t="str">
        <f t="shared" si="235"/>
        <v/>
      </c>
      <c r="DI54" s="36" t="str">
        <f t="shared" si="194"/>
        <v/>
      </c>
      <c r="DJ54" s="36" t="str">
        <f t="shared" si="236"/>
        <v/>
      </c>
      <c r="DL54" s="36" t="str">
        <f t="shared" si="195"/>
        <v/>
      </c>
      <c r="DM54" s="149" t="str">
        <f t="shared" si="237"/>
        <v/>
      </c>
      <c r="DN54" s="36" t="str">
        <f t="shared" si="238"/>
        <v/>
      </c>
      <c r="DO54" s="36" t="str">
        <f t="shared" si="239"/>
        <v/>
      </c>
      <c r="DP54" s="36" t="str">
        <f t="shared" si="240"/>
        <v/>
      </c>
      <c r="DR54" s="36" t="str">
        <f t="shared" si="241"/>
        <v/>
      </c>
      <c r="DS54" s="36" t="str">
        <f t="shared" si="242"/>
        <v/>
      </c>
      <c r="DT54" s="36" t="str">
        <f t="shared" si="243"/>
        <v/>
      </c>
      <c r="DV54" s="36" t="str">
        <f>DT47</f>
        <v/>
      </c>
      <c r="DX54" s="152" t="str">
        <f t="shared" si="244"/>
        <v/>
      </c>
      <c r="DY54" s="36" t="str">
        <f t="shared" si="245"/>
        <v/>
      </c>
      <c r="DZ54" s="36" t="str">
        <f t="shared" si="246"/>
        <v/>
      </c>
      <c r="EA54" s="36" t="str">
        <f t="shared" si="247"/>
        <v/>
      </c>
      <c r="EB54" s="173" t="str">
        <f t="shared" si="248"/>
        <v/>
      </c>
      <c r="EC54" s="36" t="str">
        <f>D68</f>
        <v/>
      </c>
      <c r="ED54" s="122">
        <v>15</v>
      </c>
      <c r="EE54" s="36" t="str">
        <f t="shared" si="249"/>
        <v/>
      </c>
      <c r="EF54" s="36">
        <f t="shared" si="250"/>
        <v>0</v>
      </c>
      <c r="EG54" s="36" t="str">
        <f>IF(SUM($BH$68:$BJ$68)=2,$BH$2,"")</f>
        <v/>
      </c>
      <c r="EH54" s="36" t="str">
        <f>IF(EE54="","",(INDEX(EG40:EG55,EE54-$CO$39)))</f>
        <v/>
      </c>
      <c r="EJ54" s="36">
        <f t="shared" si="251"/>
        <v>999</v>
      </c>
      <c r="EK54" s="36">
        <f>SMALL(EJ40:EJ55,ED54)</f>
        <v>999</v>
      </c>
      <c r="EL54" s="36" t="str">
        <f t="shared" si="356"/>
        <v/>
      </c>
      <c r="EM54" s="36">
        <f t="shared" si="252"/>
        <v>1</v>
      </c>
      <c r="EN54" s="36">
        <f t="shared" si="253"/>
        <v>1</v>
      </c>
      <c r="EQ54" s="36" t="str">
        <f t="shared" si="359"/>
        <v/>
      </c>
      <c r="ER54" s="36">
        <f t="shared" si="254"/>
        <v>0</v>
      </c>
      <c r="ES54" s="36">
        <f t="shared" si="255"/>
        <v>0</v>
      </c>
      <c r="ET54" s="149" t="str">
        <f t="shared" si="256"/>
        <v/>
      </c>
      <c r="EV54" s="36" t="str">
        <f>D68</f>
        <v/>
      </c>
      <c r="EW54" s="36" t="str">
        <f>E68</f>
        <v/>
      </c>
      <c r="EX54" s="36" t="str">
        <f>H68</f>
        <v/>
      </c>
      <c r="EY54" s="36" t="str">
        <f>K68</f>
        <v/>
      </c>
      <c r="EZ54" s="36" t="str">
        <f t="shared" si="257"/>
        <v/>
      </c>
      <c r="FB54" s="36" t="str">
        <f t="shared" si="258"/>
        <v/>
      </c>
      <c r="FC54" s="36" t="str">
        <f t="shared" si="259"/>
        <v/>
      </c>
      <c r="FD54" s="36" t="str">
        <f t="shared" si="196"/>
        <v/>
      </c>
      <c r="FE54" s="36" t="str">
        <f t="shared" si="197"/>
        <v/>
      </c>
      <c r="FF54" s="36" t="str">
        <f t="shared" si="198"/>
        <v/>
      </c>
      <c r="FG54" s="36" t="str">
        <f t="shared" si="199"/>
        <v/>
      </c>
      <c r="FI54" s="36" t="str">
        <f t="shared" si="260"/>
        <v/>
      </c>
      <c r="FL54" s="36" t="str">
        <f t="shared" si="261"/>
        <v/>
      </c>
      <c r="FM54" s="36" t="str">
        <f t="shared" si="347"/>
        <v/>
      </c>
      <c r="FN54" s="36" t="str">
        <f t="shared" si="262"/>
        <v/>
      </c>
      <c r="FO54" s="36" t="str">
        <f t="shared" si="263"/>
        <v/>
      </c>
      <c r="FP54" s="36" t="str">
        <f>IF(FN54="","",(IF(FO54="",(IF(FN54=FO40,FN40,IF(FN54=FO41,FN41,IF(FN54=FO42,FN42,IF(FN54=FO43,FN43,IF(FN54=FO44,FN44,IF(FN54=FO45,FN45,IF(FN54=FO46,FN46,IF(FN54=FO47,FN47,""))))))))),FO54)))</f>
        <v/>
      </c>
      <c r="FQ54" s="36" t="str">
        <f>IF(FN54="","",(IF(FN54=FO48,FN48,IF(FN54=FO49,FN49,IF(FN54=FO50,FN50,IF(FN54=FO51,FN51,IF(FN54=FO52,FN52,IF(FN54=FO53,FN53,IF(FN54=FO54,FN54,IF(FN54=FO55,FN55,""))))))))))</f>
        <v/>
      </c>
      <c r="FR54" s="173" t="str">
        <f t="shared" si="264"/>
        <v/>
      </c>
      <c r="FT54" s="36">
        <f t="shared" si="348"/>
        <v>18</v>
      </c>
      <c r="FV54" s="36" t="str">
        <f t="shared" si="265"/>
        <v/>
      </c>
      <c r="FW54" s="36" t="str">
        <f>IF(FT54=FN48,FR48,IF(FT54=FN49,FR49,IF(FT54=FN50,FR50,IF(FT54=FN51,FR51,IF(FT54=FN52,FR52,IF(FT54=FN53,FR53,IF(FT54=FN54,FR54,IF(FT54=FN55,FR55,""))))))))</f>
        <v/>
      </c>
      <c r="FX54" s="36" t="str">
        <f t="shared" si="266"/>
        <v/>
      </c>
      <c r="FZ54" s="36" t="str">
        <f>FX47</f>
        <v/>
      </c>
      <c r="GA54" s="152"/>
      <c r="GB54" s="122">
        <v>15</v>
      </c>
      <c r="GC54" s="36" t="str">
        <f>IF(D68="","",D68)</f>
        <v/>
      </c>
      <c r="GD54" s="36" t="str">
        <f>IF(E68="","",E68)</f>
        <v/>
      </c>
      <c r="GE54" s="36" t="str">
        <f>IF(H68="","",H68)</f>
        <v/>
      </c>
      <c r="GF54" s="36" t="str">
        <f>IF(K68="","",K68)</f>
        <v/>
      </c>
      <c r="GG54" s="36" t="str">
        <f>IF(N68="","",N68)</f>
        <v/>
      </c>
      <c r="GH54" s="36" t="str">
        <f>IF(Q68="","",Q68)</f>
        <v/>
      </c>
      <c r="GI54" s="36" t="str">
        <f>IF(T68="","",T68)</f>
        <v/>
      </c>
      <c r="GJ54" s="36" t="str">
        <f>IF(W68="","",W68)</f>
        <v/>
      </c>
      <c r="GK54" s="36" t="str">
        <f>IF(C68="","",C68)</f>
        <v/>
      </c>
      <c r="GM54" s="36" t="str">
        <f>IF(F68="","",F68)</f>
        <v/>
      </c>
      <c r="GN54" s="36" t="str">
        <f>IF(I68="","",I68)</f>
        <v/>
      </c>
      <c r="GO54" s="36" t="str">
        <f>IF(L68="","",L68)</f>
        <v/>
      </c>
      <c r="GP54" s="36" t="str">
        <f>IF(O68="","",O68)</f>
        <v/>
      </c>
      <c r="GQ54" s="36" t="str">
        <f>IF(R68="","",R68)</f>
        <v/>
      </c>
      <c r="GR54" s="36" t="str">
        <f>IF(U68="","",U68)</f>
        <v/>
      </c>
      <c r="GS54" s="36" t="str">
        <f>IF(X68="","",X68)</f>
        <v/>
      </c>
      <c r="GU54" s="36" t="str">
        <f>IF(F69="","",F69)</f>
        <v/>
      </c>
      <c r="GV54" s="36" t="str">
        <f>IF(I69="","",I69)</f>
        <v/>
      </c>
      <c r="GW54" s="36" t="str">
        <f>IF(L69="","",L69)</f>
        <v/>
      </c>
      <c r="GX54" s="36" t="str">
        <f>IF(O69="","",O69)</f>
        <v/>
      </c>
      <c r="GY54" s="36" t="str">
        <f>IF(R69="","",R69)</f>
        <v/>
      </c>
      <c r="GZ54" s="36" t="str">
        <f>IF(U69="","",U69)</f>
        <v/>
      </c>
      <c r="HA54" s="153" t="str">
        <f>IF(X69="","",X69)</f>
        <v/>
      </c>
      <c r="HB54" s="183" t="str">
        <f>D68</f>
        <v/>
      </c>
      <c r="HC54" s="122">
        <v>15</v>
      </c>
      <c r="HD54" s="36" t="str">
        <f>IF(SUM($BH68:$BK68)&gt;=2,$BH$2,"")</f>
        <v/>
      </c>
      <c r="HE54" s="36" t="str">
        <f t="shared" si="267"/>
        <v/>
      </c>
      <c r="HF54" s="36" t="str">
        <f t="shared" si="200"/>
        <v/>
      </c>
      <c r="HG54" s="36" t="str">
        <f t="shared" si="201"/>
        <v/>
      </c>
      <c r="HH54" s="36" t="str">
        <f t="shared" si="202"/>
        <v/>
      </c>
      <c r="HI54" s="36" t="str">
        <f t="shared" si="203"/>
        <v/>
      </c>
      <c r="HK54" s="36" t="str">
        <f t="shared" si="360"/>
        <v/>
      </c>
      <c r="HM54" s="36">
        <f t="shared" si="268"/>
        <v>999</v>
      </c>
      <c r="HN54" s="36">
        <f t="shared" si="269"/>
        <v>999</v>
      </c>
      <c r="HO54" s="36" t="str">
        <f t="shared" si="204"/>
        <v/>
      </c>
      <c r="HQ54" s="36">
        <f t="shared" si="270"/>
        <v>1</v>
      </c>
      <c r="HR54" s="36">
        <f>IF(HQ54=HQ55,0,1)</f>
        <v>0</v>
      </c>
      <c r="HS54" s="36" t="str">
        <f t="shared" si="349"/>
        <v/>
      </c>
      <c r="HT54" s="36">
        <f t="shared" si="272"/>
        <v>0</v>
      </c>
      <c r="HU54" s="36" t="str">
        <f t="shared" si="273"/>
        <v/>
      </c>
      <c r="HV54" s="138"/>
      <c r="HW54" s="36" t="str">
        <f t="shared" si="274"/>
        <v/>
      </c>
      <c r="HX54" s="36" t="str">
        <f t="shared" si="275"/>
        <v/>
      </c>
      <c r="HY54" s="36" t="str">
        <f t="shared" si="276"/>
        <v/>
      </c>
      <c r="HZ54" s="36" t="str">
        <f t="shared" si="277"/>
        <v/>
      </c>
      <c r="IA54" s="36" t="str">
        <f t="shared" si="278"/>
        <v/>
      </c>
      <c r="IC54" s="36" t="str">
        <f t="shared" si="350"/>
        <v/>
      </c>
      <c r="ID54" s="36" t="str">
        <f t="shared" si="363"/>
        <v/>
      </c>
      <c r="IE54" s="36" t="str">
        <f t="shared" si="366"/>
        <v/>
      </c>
      <c r="IH54" s="149"/>
      <c r="II54" s="138"/>
      <c r="IJ54" s="36" t="str">
        <f t="shared" si="283"/>
        <v/>
      </c>
      <c r="IN54" s="36" t="str">
        <f t="shared" si="286"/>
        <v/>
      </c>
      <c r="IO54" s="36" t="str">
        <f t="shared" si="287"/>
        <v/>
      </c>
      <c r="IP54" s="36" t="str">
        <f>IN47</f>
        <v/>
      </c>
      <c r="IQ54" s="183" t="str">
        <f>D68</f>
        <v/>
      </c>
      <c r="IR54" s="122">
        <v>15</v>
      </c>
      <c r="IS54" s="36" t="str">
        <f>IF(SUM($BH68:$BL68)&gt;1,$BH$2,"")</f>
        <v/>
      </c>
      <c r="IT54" s="36" t="str">
        <f t="shared" si="288"/>
        <v/>
      </c>
      <c r="IU54" s="36" t="str">
        <f t="shared" si="289"/>
        <v/>
      </c>
      <c r="IV54" s="36" t="str">
        <f t="shared" si="290"/>
        <v/>
      </c>
      <c r="IW54" s="36" t="str">
        <f t="shared" si="291"/>
        <v/>
      </c>
      <c r="IX54" s="36" t="str">
        <f t="shared" si="292"/>
        <v/>
      </c>
      <c r="IY54" s="36" t="str">
        <f t="shared" si="293"/>
        <v/>
      </c>
      <c r="IZ54" s="36" t="str">
        <f t="shared" si="294"/>
        <v/>
      </c>
      <c r="JB54" s="36">
        <f t="shared" si="295"/>
        <v>999</v>
      </c>
      <c r="JC54" s="36">
        <f t="shared" si="296"/>
        <v>999</v>
      </c>
      <c r="JD54" s="36" t="str">
        <f t="shared" si="205"/>
        <v/>
      </c>
      <c r="JF54" s="36">
        <f t="shared" si="297"/>
        <v>1</v>
      </c>
      <c r="JG54" s="36">
        <f t="shared" si="298"/>
        <v>0</v>
      </c>
      <c r="JH54" s="36" t="str">
        <f t="shared" si="299"/>
        <v/>
      </c>
      <c r="JI54" s="36">
        <f t="shared" si="300"/>
        <v>0</v>
      </c>
      <c r="JJ54" s="149" t="str">
        <f t="shared" si="361"/>
        <v/>
      </c>
      <c r="JM54" s="36" t="str">
        <f>IF(JH54="","",(INDEX($GD$7:$GD$22,$HS54)))</f>
        <v/>
      </c>
      <c r="JN54" s="36" t="str">
        <f>IF(JH54="","",(INDEX($GE$7:$GE$22,$HS54)))</f>
        <v/>
      </c>
      <c r="JO54" s="36" t="str">
        <f>IF(JH54="","",(INDEX($GF$7:$GF$22,$HS54)))</f>
        <v/>
      </c>
      <c r="JP54" s="36" t="str">
        <f>IF(JH54="","",(INDEX($GG$7:$GG$22,$HS54)))</f>
        <v/>
      </c>
      <c r="JQ54" s="36" t="str">
        <f>IF(JH54="","",(INDEX($GH$7:$GH$22,$HS54)))</f>
        <v/>
      </c>
      <c r="JX54" s="149" t="str">
        <f>IF(JS54="",IF(JT54="",IF(JW54="",IF(JU54="","",JU54),JW54),JT54),JS54)</f>
        <v/>
      </c>
      <c r="JY54" s="138"/>
      <c r="KB54" s="36" t="str">
        <f t="shared" si="313"/>
        <v/>
      </c>
      <c r="KC54" s="36" t="str">
        <f t="shared" si="314"/>
        <v/>
      </c>
      <c r="KD54" s="36" t="str">
        <f t="shared" si="315"/>
        <v/>
      </c>
      <c r="KF54" s="36" t="str">
        <f>KD47</f>
        <v/>
      </c>
      <c r="KG54" s="183" t="str">
        <f>D68</f>
        <v/>
      </c>
      <c r="KH54" s="122">
        <v>15</v>
      </c>
      <c r="KI54" s="36" t="str">
        <f>IF(SUM($BH68:$BM68)&gt;1,$BH$2,"")</f>
        <v/>
      </c>
      <c r="KJ54" s="36" t="str">
        <f t="shared" si="316"/>
        <v/>
      </c>
      <c r="KK54" s="36" t="str">
        <f t="shared" si="317"/>
        <v/>
      </c>
      <c r="KL54" s="36" t="str">
        <f t="shared" si="318"/>
        <v/>
      </c>
      <c r="KM54" s="36" t="str">
        <f t="shared" si="319"/>
        <v/>
      </c>
      <c r="KN54" s="36" t="str">
        <f t="shared" si="320"/>
        <v/>
      </c>
      <c r="KO54" s="36" t="str">
        <f t="shared" si="321"/>
        <v/>
      </c>
      <c r="KP54" s="36" t="str">
        <f t="shared" si="322"/>
        <v/>
      </c>
      <c r="KQ54" s="36" t="str">
        <f t="shared" si="323"/>
        <v/>
      </c>
      <c r="KS54" s="36">
        <f t="shared" si="324"/>
        <v>999</v>
      </c>
      <c r="KT54" s="36">
        <f t="shared" si="325"/>
        <v>999</v>
      </c>
      <c r="KU54" s="36" t="str">
        <f t="shared" si="206"/>
        <v/>
      </c>
      <c r="KW54" s="36">
        <f t="shared" si="326"/>
        <v>1</v>
      </c>
      <c r="KX54" s="36">
        <f>IF(KW54=KW55,0,1)</f>
        <v>0</v>
      </c>
      <c r="KY54" s="36" t="str">
        <f t="shared" si="352"/>
        <v/>
      </c>
      <c r="KZ54" s="36">
        <f t="shared" si="328"/>
        <v>0</v>
      </c>
      <c r="LA54" s="149" t="str">
        <f t="shared" si="329"/>
        <v/>
      </c>
      <c r="LC54" s="36" t="str">
        <f t="shared" si="330"/>
        <v/>
      </c>
      <c r="LD54" s="36" t="str">
        <f t="shared" si="331"/>
        <v/>
      </c>
      <c r="LE54" s="36" t="str">
        <f t="shared" si="332"/>
        <v/>
      </c>
      <c r="LF54" s="36" t="str">
        <f t="shared" si="333"/>
        <v/>
      </c>
      <c r="LG54" s="36" t="str">
        <f t="shared" si="334"/>
        <v/>
      </c>
      <c r="LH54" s="36" t="str">
        <f t="shared" si="335"/>
        <v/>
      </c>
      <c r="LI54" s="36" t="str">
        <f t="shared" si="336"/>
        <v/>
      </c>
      <c r="LJ54" s="36" t="str">
        <f t="shared" si="337"/>
        <v/>
      </c>
      <c r="LK54" s="36" t="str">
        <f t="shared" si="362"/>
        <v/>
      </c>
      <c r="LL54" s="36" t="str">
        <f t="shared" si="338"/>
        <v/>
      </c>
      <c r="LM54" s="36" t="str">
        <f t="shared" si="339"/>
        <v/>
      </c>
      <c r="LN54" s="36" t="str">
        <f t="shared" si="340"/>
        <v/>
      </c>
      <c r="LO54" s="149" t="str">
        <f t="shared" si="341"/>
        <v/>
      </c>
      <c r="LP54" s="138"/>
      <c r="LQ54" s="36" t="str">
        <f t="shared" si="342"/>
        <v/>
      </c>
      <c r="LS54" s="36" t="str">
        <f t="shared" si="353"/>
        <v/>
      </c>
      <c r="LT54" s="36" t="str">
        <f t="shared" si="343"/>
        <v/>
      </c>
      <c r="LU54" s="36" t="str">
        <f t="shared" si="208"/>
        <v/>
      </c>
      <c r="LW54" s="153" t="str">
        <f>LU47</f>
        <v/>
      </c>
      <c r="LX54" s="152"/>
    </row>
    <row r="55" spans="1:336" ht="14.25" customHeight="1" thickBot="1" x14ac:dyDescent="0.3">
      <c r="A55" s="375"/>
      <c r="B55" s="374"/>
      <c r="C55" s="363"/>
      <c r="D55" s="362"/>
      <c r="E55" s="346"/>
      <c r="F55" s="29"/>
      <c r="G55" s="30"/>
      <c r="H55" s="334"/>
      <c r="I55" s="29"/>
      <c r="J55" s="30"/>
      <c r="K55" s="334"/>
      <c r="L55" s="29"/>
      <c r="M55" s="30"/>
      <c r="N55" s="334"/>
      <c r="O55" s="29"/>
      <c r="P55" s="30"/>
      <c r="Q55" s="334"/>
      <c r="R55" s="29"/>
      <c r="S55" s="30"/>
      <c r="T55" s="334"/>
      <c r="U55" s="29"/>
      <c r="V55" s="30"/>
      <c r="W55" s="337"/>
      <c r="X55" s="29"/>
      <c r="Y55" s="30"/>
      <c r="Z55" s="338"/>
      <c r="AA55" s="335"/>
      <c r="AB55" s="336"/>
      <c r="AC55" s="355"/>
      <c r="AD55" s="328"/>
      <c r="AE55" s="328"/>
      <c r="AG55" s="253">
        <v>16</v>
      </c>
      <c r="AH55" s="142" t="str">
        <f t="shared" si="209"/>
        <v/>
      </c>
      <c r="AI55" s="178"/>
      <c r="AJ55" s="83" t="str">
        <f t="shared" si="364"/>
        <v/>
      </c>
      <c r="AK55" s="143" t="str">
        <f t="shared" si="365"/>
        <v/>
      </c>
      <c r="AM55" s="142" t="str">
        <f t="shared" si="354"/>
        <v/>
      </c>
      <c r="AN55" s="83"/>
      <c r="AO55" s="83" t="str">
        <f>IF(FR55="",(IF(AM55="","",(IF(FO55=$BQ$2,$BQ$2,IF((AN55)="","",AN55))))),FR55)</f>
        <v/>
      </c>
      <c r="AP55" s="143" t="str">
        <f>IF($H$5="","",(FM55))</f>
        <v/>
      </c>
      <c r="AR55" s="142"/>
      <c r="AS55" s="83"/>
      <c r="AT55" s="83"/>
      <c r="AU55" s="143"/>
      <c r="AW55" s="142"/>
      <c r="AX55" s="83"/>
      <c r="AY55" s="83"/>
      <c r="AZ55" s="143"/>
      <c r="BB55" s="142"/>
      <c r="BC55" s="83"/>
      <c r="BD55" s="83"/>
      <c r="BE55" s="143"/>
      <c r="BH55" s="36" t="str">
        <f>IF(E55=$BQ$2,"",(IF(A55="","",(IF(F55="","",(IF(F55&lt;2,1,0)))))))</f>
        <v/>
      </c>
      <c r="BI55" s="36" t="str">
        <f>IF(H55=$BQ$2,"",(IF(A55="","",(IF(I55="","",(IF(I55&lt;2,1,0)))))))</f>
        <v/>
      </c>
      <c r="BJ55" s="36" t="str">
        <f>IF(K55=$BQ$2,"",(IF(A55="","",(IF(L55="","",(IF(L55&lt;2,1,0)))))))</f>
        <v/>
      </c>
      <c r="BK55" s="36" t="str">
        <f>IF(W55=$BQ$2,"",(IF(A55="","",(IF(X55="","",(IF(X55&lt;2,1,0)))))))</f>
        <v/>
      </c>
      <c r="BP55" s="36" t="str">
        <f>IF(BH55="","",(SUM(BH55:BK55)))</f>
        <v/>
      </c>
      <c r="BR55" s="83" t="str">
        <f>BP70</f>
        <v/>
      </c>
      <c r="BS55" s="83" t="str">
        <f>D70</f>
        <v/>
      </c>
      <c r="BT55" s="123" t="str">
        <f>IF(SUM(BH70,BI70)=2,$BH$2,"")</f>
        <v/>
      </c>
      <c r="BV55" s="36">
        <f t="shared" si="191"/>
        <v>999</v>
      </c>
      <c r="BW55" s="36">
        <f t="shared" si="192"/>
        <v>999</v>
      </c>
      <c r="BX55" s="36">
        <f t="shared" si="344"/>
        <v>16</v>
      </c>
      <c r="BY55" s="36">
        <f t="shared" si="218"/>
        <v>999</v>
      </c>
      <c r="CB55" s="123">
        <v>16</v>
      </c>
      <c r="CC55" s="36">
        <f>IF((D70)="",0,D70)</f>
        <v>0</v>
      </c>
      <c r="CD55" s="36">
        <f t="shared" si="219"/>
        <v>0</v>
      </c>
      <c r="CE55" s="36">
        <f t="shared" si="220"/>
        <v>0</v>
      </c>
      <c r="CH55" s="36">
        <f t="shared" si="345"/>
        <v>0</v>
      </c>
      <c r="CI55" s="36">
        <f t="shared" si="221"/>
        <v>0</v>
      </c>
      <c r="CJ55" s="36">
        <f t="shared" si="222"/>
        <v>0</v>
      </c>
      <c r="CM55" s="36">
        <f t="shared" si="346"/>
        <v>0</v>
      </c>
      <c r="CO55" s="36">
        <f t="shared" si="223"/>
        <v>0</v>
      </c>
      <c r="CP55" s="36" t="str">
        <f t="shared" si="224"/>
        <v/>
      </c>
      <c r="CQ55" s="36">
        <f t="shared" si="225"/>
        <v>999</v>
      </c>
      <c r="CR55" s="36">
        <f t="shared" si="226"/>
        <v>16</v>
      </c>
      <c r="CS55" s="36">
        <f t="shared" si="227"/>
        <v>999</v>
      </c>
      <c r="CT55" s="36" t="str">
        <f t="shared" si="193"/>
        <v/>
      </c>
      <c r="CU55" s="36" t="str">
        <f t="shared" si="228"/>
        <v/>
      </c>
      <c r="CV55" s="36">
        <f t="shared" si="229"/>
        <v>0</v>
      </c>
      <c r="CW55" s="36">
        <f t="shared" si="230"/>
        <v>0</v>
      </c>
      <c r="CX55" s="149" t="str">
        <f t="shared" si="231"/>
        <v/>
      </c>
      <c r="DA55" s="36" t="str">
        <f>D70</f>
        <v/>
      </c>
      <c r="DB55" s="36" t="str">
        <f>E70</f>
        <v/>
      </c>
      <c r="DC55" s="36" t="str">
        <f>H70</f>
        <v/>
      </c>
      <c r="DD55" s="36" t="str">
        <f t="shared" si="232"/>
        <v/>
      </c>
      <c r="DF55" s="36" t="str">
        <f t="shared" si="233"/>
        <v/>
      </c>
      <c r="DG55" s="36" t="str">
        <f t="shared" si="234"/>
        <v/>
      </c>
      <c r="DH55" s="36" t="str">
        <f t="shared" si="235"/>
        <v/>
      </c>
      <c r="DI55" s="36" t="str">
        <f t="shared" si="194"/>
        <v/>
      </c>
      <c r="DJ55" s="36" t="str">
        <f t="shared" si="236"/>
        <v/>
      </c>
      <c r="DL55" s="36" t="str">
        <f t="shared" si="195"/>
        <v/>
      </c>
      <c r="DM55" s="149" t="str">
        <f t="shared" si="237"/>
        <v/>
      </c>
      <c r="DN55" s="36" t="str">
        <f t="shared" si="238"/>
        <v/>
      </c>
      <c r="DO55" s="36" t="str">
        <f t="shared" si="239"/>
        <v/>
      </c>
      <c r="DP55" s="36" t="str">
        <f t="shared" si="240"/>
        <v/>
      </c>
      <c r="DR55" s="36" t="str">
        <f t="shared" si="241"/>
        <v/>
      </c>
      <c r="DS55" s="36" t="str">
        <f t="shared" si="242"/>
        <v/>
      </c>
      <c r="DT55" s="36" t="str">
        <f t="shared" si="243"/>
        <v/>
      </c>
      <c r="DX55" s="175" t="str">
        <f t="shared" si="244"/>
        <v/>
      </c>
      <c r="DY55" s="83" t="str">
        <f t="shared" si="245"/>
        <v/>
      </c>
      <c r="DZ55" s="36" t="str">
        <f t="shared" si="246"/>
        <v/>
      </c>
      <c r="EA55" s="36" t="str">
        <f t="shared" si="247"/>
        <v/>
      </c>
      <c r="EB55" s="174" t="str">
        <f t="shared" si="248"/>
        <v/>
      </c>
      <c r="EC55" s="36" t="str">
        <f>D70</f>
        <v/>
      </c>
      <c r="ED55" s="123">
        <v>16</v>
      </c>
      <c r="EE55" s="36" t="str">
        <f t="shared" si="249"/>
        <v/>
      </c>
      <c r="EF55" s="36">
        <f t="shared" si="250"/>
        <v>0</v>
      </c>
      <c r="EG55" s="36" t="str">
        <f>IF(SUM($BH$70:$BJ$70)=2,$BH$2,"")</f>
        <v/>
      </c>
      <c r="EH55" s="36" t="str">
        <f>IF(EE55="","",(INDEX(EG40:EG55,EE55-$CO$39)))</f>
        <v/>
      </c>
      <c r="EJ55" s="36">
        <f t="shared" si="251"/>
        <v>999</v>
      </c>
      <c r="EK55" s="36">
        <f>SMALL(EJ40:EJ55,ED55)</f>
        <v>999</v>
      </c>
      <c r="EL55" s="36" t="str">
        <f t="shared" si="356"/>
        <v/>
      </c>
      <c r="EM55" s="36">
        <f t="shared" si="252"/>
        <v>0</v>
      </c>
      <c r="EN55" s="36">
        <f t="shared" si="253"/>
        <v>0</v>
      </c>
      <c r="EQ55" s="36" t="str">
        <f t="shared" si="359"/>
        <v/>
      </c>
      <c r="ER55" s="36">
        <f t="shared" si="254"/>
        <v>0</v>
      </c>
      <c r="ES55" s="36">
        <f t="shared" si="255"/>
        <v>0</v>
      </c>
      <c r="ET55" s="149" t="str">
        <f t="shared" si="256"/>
        <v/>
      </c>
      <c r="EV55" s="36" t="str">
        <f>D70</f>
        <v/>
      </c>
      <c r="EW55" s="36" t="str">
        <f>E70</f>
        <v/>
      </c>
      <c r="EX55" s="36" t="str">
        <f>H70</f>
        <v/>
      </c>
      <c r="EY55" s="36" t="str">
        <f>K70</f>
        <v/>
      </c>
      <c r="EZ55" s="36" t="str">
        <f t="shared" si="257"/>
        <v/>
      </c>
      <c r="FB55" s="36" t="str">
        <f t="shared" si="258"/>
        <v/>
      </c>
      <c r="FC55" s="36" t="str">
        <f t="shared" si="259"/>
        <v/>
      </c>
      <c r="FD55" s="36" t="str">
        <f t="shared" si="196"/>
        <v/>
      </c>
      <c r="FE55" s="36" t="str">
        <f t="shared" si="197"/>
        <v/>
      </c>
      <c r="FF55" s="36" t="str">
        <f t="shared" si="198"/>
        <v/>
      </c>
      <c r="FI55" s="36" t="str">
        <f t="shared" si="260"/>
        <v/>
      </c>
      <c r="FJ55" s="36" t="str">
        <f>IF((ISNUMBER(AN55)),(INDEX($EZ$40:$EZ$55,AN55-$DF$36)),"")</f>
        <v/>
      </c>
      <c r="FL55" s="36" t="str">
        <f t="shared" si="261"/>
        <v/>
      </c>
      <c r="FM55" s="36" t="str">
        <f t="shared" si="347"/>
        <v/>
      </c>
      <c r="FN55" s="36" t="str">
        <f t="shared" si="262"/>
        <v/>
      </c>
      <c r="FO55" s="36" t="str">
        <f t="shared" si="263"/>
        <v/>
      </c>
      <c r="FP55" s="36" t="str">
        <f>IF(FN55="","",(IF(FO55="",(IF(FN55=FO40,FN40,IF(FN55=FO41,FN41,IF(FN55=FO42,FN42,IF(FN55=FO43,FN43,IF(FN55=FO44,FN44,IF(FN55=FO45,FN45,IF(FN55=FO46,FN46,IF(FN55=FO47,FN47,""))))))))),FO55)))</f>
        <v/>
      </c>
      <c r="FQ55" s="36" t="str">
        <f>IF(FN55="","",(IF(FN55=FO48,FN48,IF(FN55=FO49,FN49,IF(FN55=FO50,FN50,IF(FN55=FO51,FN51,IF(FN55=FO52,FN52,IF(FN55=FO53,FN53,IF(FN55=FO54,FN54,IF(FN55=FO55,FN55,""))))))))))</f>
        <v/>
      </c>
      <c r="FR55" s="173" t="str">
        <f t="shared" si="264"/>
        <v/>
      </c>
      <c r="FT55" s="36">
        <f t="shared" si="348"/>
        <v>19</v>
      </c>
      <c r="FV55" s="36" t="str">
        <f t="shared" si="265"/>
        <v/>
      </c>
      <c r="FW55" s="36" t="str">
        <f>IF(FT55=FN48,FR48,IF(FT55=FN49,FR49,IF(FT55=FN50,FR50,IF(FT55=FN51,FR51,IF(FT55=FN52,FR52,IF(FT55=FN53,FR53,IF(FT55=FN54,FR54,IF(FT55=FN55,FR55,""))))))))</f>
        <v/>
      </c>
      <c r="FX55" s="36" t="str">
        <f t="shared" si="266"/>
        <v/>
      </c>
      <c r="GA55" s="152"/>
      <c r="GB55" s="122">
        <v>16</v>
      </c>
      <c r="GC55" s="36" t="str">
        <f>IF(D70="","",D70)</f>
        <v/>
      </c>
      <c r="GD55" s="36" t="str">
        <f>IF(E70="","",E70)</f>
        <v/>
      </c>
      <c r="GE55" s="36" t="str">
        <f>IF(H70="","",H70)</f>
        <v/>
      </c>
      <c r="GF55" s="36" t="str">
        <f>IF(K70="","",K70)</f>
        <v/>
      </c>
      <c r="GG55" s="36" t="str">
        <f>IF(N70="","",N70)</f>
        <v/>
      </c>
      <c r="GH55" s="36" t="str">
        <f>IF(Q70="","",Q70)</f>
        <v/>
      </c>
      <c r="GI55" s="36" t="str">
        <f>IF(T70="","",T70)</f>
        <v/>
      </c>
      <c r="GJ55" s="36" t="str">
        <f>IF(W70="","",W70)</f>
        <v/>
      </c>
      <c r="GK55" s="36" t="str">
        <f>IF(C70="","",C70)</f>
        <v/>
      </c>
      <c r="GM55" s="36" t="str">
        <f>IF(F70="","",F70)</f>
        <v/>
      </c>
      <c r="GN55" s="36" t="str">
        <f>IF(I70="","",I70)</f>
        <v/>
      </c>
      <c r="GO55" s="36" t="str">
        <f>IF(L70="","",L70)</f>
        <v/>
      </c>
      <c r="GP55" s="36" t="str">
        <f>IF(O70="","",O70)</f>
        <v/>
      </c>
      <c r="GQ55" s="36" t="str">
        <f>IF(R70="","",R70)</f>
        <v/>
      </c>
      <c r="GR55" s="36" t="str">
        <f>IF(U70="","",U70)</f>
        <v/>
      </c>
      <c r="GS55" s="36" t="str">
        <f>IF(X70="","",X70)</f>
        <v/>
      </c>
      <c r="GU55" s="36" t="str">
        <f>IF(F71="","",F71)</f>
        <v/>
      </c>
      <c r="GV55" s="36" t="str">
        <f>IF(I71="","",I71)</f>
        <v/>
      </c>
      <c r="GW55" s="36" t="str">
        <f>IF(L71="","",L71)</f>
        <v/>
      </c>
      <c r="GX55" s="36" t="str">
        <f>IF(O71="","",O71)</f>
        <v/>
      </c>
      <c r="GY55" s="36" t="str">
        <f>IF(R71="","",R71)</f>
        <v/>
      </c>
      <c r="GZ55" s="36" t="str">
        <f>IF(U71="","",U71)</f>
        <v/>
      </c>
      <c r="HA55" s="181" t="str">
        <f>IF(X71="","",X71)</f>
        <v/>
      </c>
      <c r="HB55" s="183" t="str">
        <f>D70</f>
        <v/>
      </c>
      <c r="HC55" s="122">
        <v>16</v>
      </c>
      <c r="HD55" s="36" t="str">
        <f>IF(SUM(EP70:ER70)&gt;=2,$BH$2,"")</f>
        <v/>
      </c>
      <c r="HE55" s="36" t="str">
        <f t="shared" si="267"/>
        <v/>
      </c>
      <c r="HF55" s="36" t="str">
        <f t="shared" si="200"/>
        <v/>
      </c>
      <c r="HG55" s="36" t="str">
        <f t="shared" si="201"/>
        <v/>
      </c>
      <c r="HH55" s="36" t="str">
        <f t="shared" si="202"/>
        <v/>
      </c>
      <c r="HI55" s="36" t="str">
        <f t="shared" si="203"/>
        <v/>
      </c>
      <c r="HK55" s="36" t="str">
        <f t="shared" si="360"/>
        <v/>
      </c>
      <c r="HM55" s="36">
        <f t="shared" si="268"/>
        <v>999</v>
      </c>
      <c r="HN55" s="36">
        <f t="shared" si="269"/>
        <v>999</v>
      </c>
      <c r="HO55" s="36" t="str">
        <f t="shared" si="204"/>
        <v/>
      </c>
      <c r="HQ55" s="36">
        <f t="shared" si="270"/>
        <v>1</v>
      </c>
      <c r="HR55" s="36">
        <f>IF(HQ55=HQ56,0,1)</f>
        <v>0</v>
      </c>
      <c r="HS55" s="36" t="str">
        <f t="shared" si="349"/>
        <v/>
      </c>
      <c r="HT55" s="36">
        <f t="shared" si="272"/>
        <v>0</v>
      </c>
      <c r="HU55" s="36" t="str">
        <f t="shared" si="273"/>
        <v/>
      </c>
      <c r="HV55" s="138"/>
      <c r="HW55" s="36" t="str">
        <f t="shared" si="274"/>
        <v/>
      </c>
      <c r="HX55" s="36" t="str">
        <f t="shared" si="275"/>
        <v/>
      </c>
      <c r="HY55" s="36" t="str">
        <f t="shared" si="276"/>
        <v/>
      </c>
      <c r="HZ55" s="36" t="str">
        <f t="shared" si="277"/>
        <v/>
      </c>
      <c r="IA55" s="36" t="str">
        <f t="shared" si="278"/>
        <v/>
      </c>
      <c r="IC55" s="36" t="str">
        <f t="shared" si="350"/>
        <v/>
      </c>
      <c r="ID55" s="36" t="str">
        <f t="shared" si="363"/>
        <v/>
      </c>
      <c r="IE55" s="36" t="str">
        <f t="shared" si="366"/>
        <v/>
      </c>
      <c r="IH55" s="149"/>
      <c r="II55" s="138"/>
      <c r="IJ55" s="36" t="str">
        <f t="shared" si="283"/>
        <v/>
      </c>
      <c r="IN55" s="36" t="str">
        <f t="shared" si="286"/>
        <v/>
      </c>
      <c r="IO55" s="36" t="str">
        <f t="shared" si="287"/>
        <v/>
      </c>
      <c r="IQ55" s="183" t="str">
        <f>D70</f>
        <v/>
      </c>
      <c r="IR55" s="122">
        <v>16</v>
      </c>
      <c r="IS55" s="36" t="str">
        <f>IF(SUM($BH70:$BL70)&gt;1,$BH$2,"")</f>
        <v/>
      </c>
      <c r="IT55" s="36" t="str">
        <f t="shared" si="288"/>
        <v/>
      </c>
      <c r="IU55" s="36" t="str">
        <f t="shared" si="289"/>
        <v/>
      </c>
      <c r="IV55" s="36" t="str">
        <f t="shared" si="290"/>
        <v/>
      </c>
      <c r="IW55" s="36" t="str">
        <f t="shared" si="291"/>
        <v/>
      </c>
      <c r="IX55" s="36" t="str">
        <f t="shared" si="292"/>
        <v/>
      </c>
      <c r="IY55" s="36" t="str">
        <f t="shared" si="293"/>
        <v/>
      </c>
      <c r="IZ55" s="36" t="str">
        <f t="shared" si="294"/>
        <v/>
      </c>
      <c r="JB55" s="36">
        <f t="shared" si="295"/>
        <v>999</v>
      </c>
      <c r="JC55" s="36">
        <f t="shared" si="296"/>
        <v>999</v>
      </c>
      <c r="JD55" s="36" t="str">
        <f t="shared" si="205"/>
        <v/>
      </c>
      <c r="JF55" s="36">
        <f>VALUE(IF(JC55=JC56,1,0))</f>
        <v>1</v>
      </c>
      <c r="JG55" s="36">
        <f>IF(JF55=JF56,0,1)</f>
        <v>0</v>
      </c>
      <c r="JH55" s="36" t="str">
        <f t="shared" si="299"/>
        <v/>
      </c>
      <c r="JI55" s="36">
        <f t="shared" si="300"/>
        <v>0</v>
      </c>
      <c r="JJ55" s="149" t="str">
        <f t="shared" si="361"/>
        <v/>
      </c>
      <c r="JM55" s="36" t="str">
        <f>IF(JH55="","",(INDEX($GD$7:$GD$22,$HS55)))</f>
        <v/>
      </c>
      <c r="JN55" s="36" t="str">
        <f>IF(JH55="","",(INDEX($GE$7:$GE$22,$HS55)))</f>
        <v/>
      </c>
      <c r="JO55" s="36" t="str">
        <f>IF(JH55="","",(INDEX($GF$7:$GF$22,$HS55)))</f>
        <v/>
      </c>
      <c r="JP55" s="36" t="str">
        <f>IF(JH55="","",(INDEX($GG$7:$GG$22,$HS55)))</f>
        <v/>
      </c>
      <c r="JQ55" s="36" t="str">
        <f>IF(JH55="","",(INDEX($GH$7:$GH$22,$HS55)))</f>
        <v/>
      </c>
      <c r="JX55" s="149"/>
      <c r="JY55" s="142"/>
      <c r="JZ55" s="83"/>
      <c r="KA55" s="83"/>
      <c r="KB55" s="83"/>
      <c r="KC55" s="83" t="str">
        <f t="shared" si="314"/>
        <v/>
      </c>
      <c r="KD55" s="36" t="str">
        <f t="shared" si="315"/>
        <v/>
      </c>
      <c r="KE55" s="83"/>
      <c r="KG55" s="183" t="str">
        <f>D70</f>
        <v/>
      </c>
      <c r="KH55" s="122">
        <v>16</v>
      </c>
      <c r="KI55" s="36" t="str">
        <f>IF(SUM($BH70:$BM70)&gt;1,$BH$2,"")</f>
        <v/>
      </c>
      <c r="KJ55" s="36" t="str">
        <f t="shared" si="316"/>
        <v/>
      </c>
      <c r="KK55" s="36" t="str">
        <f t="shared" si="317"/>
        <v/>
      </c>
      <c r="KL55" s="36" t="str">
        <f t="shared" si="318"/>
        <v/>
      </c>
      <c r="KM55" s="36" t="str">
        <f t="shared" si="319"/>
        <v/>
      </c>
      <c r="KN55" s="36" t="str">
        <f t="shared" si="320"/>
        <v/>
      </c>
      <c r="KO55" s="36" t="str">
        <f t="shared" si="321"/>
        <v/>
      </c>
      <c r="KP55" s="36" t="str">
        <f t="shared" si="322"/>
        <v/>
      </c>
      <c r="KQ55" s="36" t="str">
        <f t="shared" si="323"/>
        <v/>
      </c>
      <c r="KS55" s="36">
        <f t="shared" si="324"/>
        <v>999</v>
      </c>
      <c r="KT55" s="36">
        <f t="shared" si="325"/>
        <v>999</v>
      </c>
      <c r="KU55" s="36" t="str">
        <f t="shared" si="206"/>
        <v/>
      </c>
      <c r="KW55" s="36">
        <f>VALUE(IF(KT55=KT56,1,0))</f>
        <v>1</v>
      </c>
      <c r="KX55" s="36">
        <f>IF(KW55=KW56,0,1)</f>
        <v>0</v>
      </c>
      <c r="KY55" s="36" t="str">
        <f t="shared" si="352"/>
        <v/>
      </c>
      <c r="KZ55" s="36">
        <f t="shared" si="328"/>
        <v>0</v>
      </c>
      <c r="LA55" s="149" t="str">
        <f t="shared" si="329"/>
        <v/>
      </c>
      <c r="LC55" s="36" t="str">
        <f t="shared" si="330"/>
        <v/>
      </c>
      <c r="LD55" s="36" t="str">
        <f t="shared" si="331"/>
        <v/>
      </c>
      <c r="LE55" s="36" t="str">
        <f t="shared" si="332"/>
        <v/>
      </c>
      <c r="LF55" s="36" t="str">
        <f t="shared" si="333"/>
        <v/>
      </c>
      <c r="LG55" s="36" t="str">
        <f t="shared" si="334"/>
        <v/>
      </c>
      <c r="LH55" s="36" t="str">
        <f t="shared" si="335"/>
        <v/>
      </c>
      <c r="LI55" s="36" t="str">
        <f t="shared" si="336"/>
        <v/>
      </c>
      <c r="LJ55" s="36" t="str">
        <f t="shared" si="337"/>
        <v/>
      </c>
      <c r="LK55" s="36" t="str">
        <f t="shared" si="362"/>
        <v/>
      </c>
      <c r="LL55" s="36" t="str">
        <f t="shared" si="338"/>
        <v/>
      </c>
      <c r="LM55" s="36" t="str">
        <f t="shared" si="339"/>
        <v/>
      </c>
      <c r="LN55" s="36" t="str">
        <f t="shared" si="340"/>
        <v/>
      </c>
      <c r="LO55" s="149" t="str">
        <f t="shared" si="341"/>
        <v/>
      </c>
      <c r="LP55" s="138"/>
      <c r="LQ55" s="36" t="str">
        <f t="shared" si="342"/>
        <v/>
      </c>
      <c r="LS55" s="36" t="str">
        <f t="shared" si="353"/>
        <v/>
      </c>
      <c r="LT55" s="36" t="str">
        <f t="shared" si="343"/>
        <v/>
      </c>
      <c r="LU55" s="36" t="str">
        <f t="shared" si="208"/>
        <v/>
      </c>
      <c r="LW55" s="153"/>
      <c r="LX55" s="152"/>
    </row>
    <row r="56" spans="1:336" ht="14.25" hidden="1" customHeight="1" thickBot="1" x14ac:dyDescent="0.3">
      <c r="A56" s="375" t="str">
        <f>'Vážní listina'!HQ55</f>
        <v/>
      </c>
      <c r="B56" s="374" t="str">
        <f>'Vážní listina'!HR55</f>
        <v/>
      </c>
      <c r="C56" s="363" t="str">
        <f>IF(BP56="","",(IF(BP56&gt;1,$BH$2,"")))</f>
        <v/>
      </c>
      <c r="D56" s="361" t="str">
        <f>'Vážní listina'!HK55</f>
        <v/>
      </c>
      <c r="E56" s="343" t="str">
        <f>'Vážní listina'!HL55</f>
        <v/>
      </c>
      <c r="F56" s="26"/>
      <c r="G56" s="33"/>
      <c r="H56" s="343" t="str">
        <f>IF(H5="","",'Vážní listina'!HM55)</f>
        <v/>
      </c>
      <c r="I56" s="26"/>
      <c r="J56" s="33"/>
      <c r="K56" s="334" t="str">
        <f>IF(K5="","",DV56)</f>
        <v/>
      </c>
      <c r="L56" s="26"/>
      <c r="M56" s="33"/>
      <c r="N56" s="334" t="str">
        <f>IF(N5="","",FZ56)</f>
        <v/>
      </c>
      <c r="O56" s="26"/>
      <c r="P56" s="33"/>
      <c r="Q56" s="334" t="str">
        <f>IF(Q5="","",IP56)</f>
        <v/>
      </c>
      <c r="R56" s="26"/>
      <c r="S56" s="33"/>
      <c r="T56" s="334" t="str">
        <f>IF(T5="","",KF56)</f>
        <v/>
      </c>
      <c r="U56" s="26"/>
      <c r="V56" s="33"/>
      <c r="W56" s="337" t="str">
        <f>IF(W5="","",LW56)</f>
        <v/>
      </c>
      <c r="X56" s="26"/>
      <c r="Y56" s="33"/>
      <c r="Z56" s="338" t="str">
        <f>IF(A56="","",(F56+I56+L56+O56+R56+U56+X56))</f>
        <v/>
      </c>
      <c r="AA56" s="335" t="str">
        <f>IF(A56="","",(F57+I57+L57+O57+R57+U57+X57))</f>
        <v/>
      </c>
      <c r="AB56" s="336" t="str">
        <f>IF(A56="","",(G56+J56+M56+P56+S56+V56+Y56))</f>
        <v/>
      </c>
      <c r="AC56" s="355" t="str">
        <f>HF128</f>
        <v/>
      </c>
      <c r="AD56" s="329"/>
      <c r="AE56" s="328" t="str">
        <f>IF(D56="","",(IF('Tabulka finále'!$BK$47=1,(IF('Tabulka finále'!$K$56="","",(IF($AC$5="","",(IF($H$5="","",(FW166))))))),"")))</f>
        <v/>
      </c>
      <c r="AG56" s="53"/>
      <c r="AH56" s="85"/>
      <c r="AJ56" s="85"/>
      <c r="AK56" s="85"/>
      <c r="AM56" s="85"/>
      <c r="AN56" s="85"/>
      <c r="AO56" s="85"/>
      <c r="AP56" s="85"/>
      <c r="BG56" s="36">
        <f>IF(A56="",0,1)</f>
        <v>0</v>
      </c>
      <c r="BH56" s="36" t="str">
        <f>(IF(F56="","",(IF(F56&lt;2,1,0))))</f>
        <v/>
      </c>
      <c r="BI56" s="36" t="str">
        <f>(IF(I56="","",(IF(I56&lt;2,1,0))))</f>
        <v/>
      </c>
      <c r="BJ56" s="36" t="str">
        <f>(IF(L56="","",(IF(L56&lt;2,1,0))))</f>
        <v/>
      </c>
      <c r="BK56" s="36" t="str">
        <f>(IF(O56="","",(IF(O56&lt;2,1,0))))</f>
        <v/>
      </c>
      <c r="BL56" s="36" t="str">
        <f>IF(R56="","",(IF(R56&lt;2,1,0)))</f>
        <v/>
      </c>
      <c r="BM56" s="36" t="str">
        <f>IF(U56="","",(IF(U56&lt;2,1,0)))</f>
        <v/>
      </c>
      <c r="BN56" s="36" t="str">
        <f>IF(X56="","",(IF(X56&lt;2,1,0)))</f>
        <v/>
      </c>
      <c r="BP56" s="36" t="str">
        <f>IF(BG56=0,"",(SUM(BH56:BN56)))</f>
        <v/>
      </c>
      <c r="BS56" s="85"/>
      <c r="BT56" s="85"/>
      <c r="BV56" s="36">
        <f t="shared" si="191"/>
        <v>999</v>
      </c>
      <c r="BW56" s="36">
        <f t="shared" si="192"/>
        <v>999</v>
      </c>
      <c r="BX56" s="36">
        <f t="shared" si="344"/>
        <v>17</v>
      </c>
      <c r="BY56" s="36">
        <f t="shared" si="218"/>
        <v>999</v>
      </c>
      <c r="DV56" s="36" t="str">
        <f>DT48</f>
        <v/>
      </c>
      <c r="DZ56" s="85"/>
      <c r="EA56" s="85"/>
      <c r="FZ56" s="36" t="str">
        <f>FX48</f>
        <v/>
      </c>
      <c r="GA56" s="152"/>
      <c r="GB56" s="85"/>
      <c r="GC56" s="85"/>
      <c r="GD56" s="85"/>
      <c r="GE56" s="85"/>
      <c r="GF56" s="85"/>
      <c r="GG56" s="85"/>
      <c r="GH56" s="85"/>
      <c r="GI56" s="85"/>
      <c r="GJ56" s="85"/>
      <c r="GK56" s="85"/>
      <c r="GL56" s="85"/>
      <c r="GM56" s="85"/>
      <c r="GN56" s="85"/>
      <c r="GO56" s="85"/>
      <c r="GP56" s="85"/>
      <c r="GQ56" s="85"/>
      <c r="GR56" s="85"/>
      <c r="GS56" s="85"/>
      <c r="GT56" s="85"/>
      <c r="GU56" s="85"/>
      <c r="GV56" s="85"/>
      <c r="GW56" s="85"/>
      <c r="GX56" s="85"/>
      <c r="GY56" s="85"/>
      <c r="GZ56" s="85"/>
      <c r="HA56" s="153"/>
      <c r="HB56" s="152"/>
      <c r="HN56" s="36">
        <f>$BK$2</f>
        <v>999</v>
      </c>
      <c r="HQ56" s="36">
        <f t="shared" si="270"/>
        <v>1</v>
      </c>
      <c r="HT56" s="36">
        <f t="shared" si="272"/>
        <v>0</v>
      </c>
      <c r="HV56" s="138"/>
      <c r="IH56" s="149"/>
      <c r="II56" s="140"/>
      <c r="IJ56" s="85"/>
      <c r="IK56" s="85"/>
      <c r="IL56" s="85"/>
      <c r="IM56" s="85"/>
      <c r="IN56" s="85"/>
      <c r="IO56" s="85"/>
      <c r="IP56" s="36" t="str">
        <f>IN48</f>
        <v/>
      </c>
      <c r="IQ56" s="152"/>
      <c r="JC56" s="36">
        <f>JC55</f>
        <v>999</v>
      </c>
      <c r="JD56" s="36" t="str">
        <f>IF(JC56=$BK$2,"",(INDEX($IT$7:$IT$22,JC56)))</f>
        <v/>
      </c>
      <c r="JF56" s="36">
        <f>VALUE(IF(JC56=JC57,1,0))</f>
        <v>1</v>
      </c>
      <c r="JJ56" s="149"/>
      <c r="JX56" s="149"/>
      <c r="JY56" s="140"/>
      <c r="JZ56" s="85"/>
      <c r="KA56" s="85"/>
      <c r="KB56" s="85"/>
      <c r="KC56" s="85"/>
      <c r="KD56" s="85"/>
      <c r="KE56" s="85"/>
      <c r="KF56" s="153" t="str">
        <f>KD48</f>
        <v/>
      </c>
      <c r="KG56" s="152"/>
      <c r="KT56" s="36">
        <f>KT55</f>
        <v>999</v>
      </c>
      <c r="KW56" s="36">
        <f>VALUE(IF(KT56=KT57,1,0))</f>
        <v>1</v>
      </c>
      <c r="LA56" s="149"/>
      <c r="LN56" s="36" t="str">
        <f t="shared" si="340"/>
        <v/>
      </c>
      <c r="LO56" s="149"/>
      <c r="LP56" s="138"/>
      <c r="LW56" s="153" t="str">
        <f>LU48</f>
        <v/>
      </c>
      <c r="LX56" s="152"/>
    </row>
    <row r="57" spans="1:336" ht="14.25" hidden="1" customHeight="1" thickBot="1" x14ac:dyDescent="0.3">
      <c r="A57" s="375"/>
      <c r="B57" s="374"/>
      <c r="C57" s="363"/>
      <c r="D57" s="362"/>
      <c r="E57" s="346"/>
      <c r="F57" s="29"/>
      <c r="G57" s="30"/>
      <c r="H57" s="346"/>
      <c r="I57" s="29"/>
      <c r="J57" s="30"/>
      <c r="K57" s="334"/>
      <c r="L57" s="29"/>
      <c r="M57" s="30"/>
      <c r="N57" s="334"/>
      <c r="O57" s="29"/>
      <c r="P57" s="30"/>
      <c r="Q57" s="334"/>
      <c r="R57" s="29"/>
      <c r="S57" s="30"/>
      <c r="T57" s="334"/>
      <c r="U57" s="29"/>
      <c r="V57" s="30"/>
      <c r="W57" s="337"/>
      <c r="X57" s="29"/>
      <c r="Y57" s="30"/>
      <c r="Z57" s="338"/>
      <c r="AA57" s="335"/>
      <c r="AB57" s="336"/>
      <c r="AC57" s="355"/>
      <c r="AD57" s="327"/>
      <c r="AE57" s="328"/>
      <c r="AG57" s="272"/>
      <c r="AH57" s="273"/>
      <c r="AI57" s="383" t="str">
        <f>[1]List1!$D$54</f>
        <v>Bodovací lístek</v>
      </c>
      <c r="AJ57" s="383"/>
      <c r="AK57" s="383"/>
      <c r="AL57" s="383"/>
      <c r="AM57" s="383"/>
      <c r="AN57" s="383"/>
      <c r="AO57" s="383"/>
      <c r="AP57" s="383"/>
      <c r="AQ57" s="383"/>
      <c r="AR57" s="383"/>
      <c r="AS57" s="383"/>
      <c r="AT57" s="383"/>
      <c r="AU57" s="383"/>
      <c r="AV57" s="383"/>
      <c r="AW57" s="383"/>
      <c r="AX57" s="383"/>
      <c r="AY57" s="383"/>
      <c r="AZ57" s="383"/>
      <c r="BA57" s="383"/>
      <c r="BB57" s="383"/>
      <c r="BC57" s="383"/>
      <c r="BD57" s="383"/>
      <c r="BH57" s="36" t="str">
        <f>IF(E57=$BQ$2,"",(IF(A57="","",(IF(F57="","",(IF(F57&lt;2,1,0)))))))</f>
        <v/>
      </c>
      <c r="BI57" s="36" t="str">
        <f>IF(H57=$BQ$2,"",(IF(A57="","",(IF(I57="","",(IF(I57&lt;2,1,0)))))))</f>
        <v/>
      </c>
      <c r="BJ57" s="36" t="str">
        <f>IF(K57=$BQ$2,"",(IF(A57="","",(IF(L57="","",(IF(L57&lt;2,1,0)))))))</f>
        <v/>
      </c>
      <c r="BK57" s="36" t="str">
        <f>IF(W57=$BQ$2,"",(IF(A57="","",(IF(X57="","",(IF(X57&lt;2,1,0)))))))</f>
        <v/>
      </c>
      <c r="BP57" s="36" t="str">
        <f>IF(BH57="","",(SUM(BH57:BK57)))</f>
        <v/>
      </c>
      <c r="BV57" s="36">
        <f t="shared" si="191"/>
        <v>999</v>
      </c>
      <c r="BW57" s="36">
        <f t="shared" si="192"/>
        <v>999</v>
      </c>
      <c r="BX57" s="36">
        <f t="shared" si="344"/>
        <v>18</v>
      </c>
      <c r="BY57" s="36">
        <f t="shared" si="218"/>
        <v>999</v>
      </c>
      <c r="GA57" s="152"/>
      <c r="HA57" s="153"/>
      <c r="HB57" s="152"/>
      <c r="HN57" s="36">
        <f>$BK$2</f>
        <v>999</v>
      </c>
      <c r="HT57" s="36">
        <f t="shared" si="272"/>
        <v>0</v>
      </c>
      <c r="HV57" s="138"/>
      <c r="IH57" s="149"/>
      <c r="II57" s="138"/>
      <c r="IQ57" s="152"/>
      <c r="JC57" s="36">
        <f>JC56</f>
        <v>999</v>
      </c>
      <c r="JD57" s="36" t="str">
        <f>IF(JC57=$BK$2,"",(INDEX($IT$7:$IT$22,JC57)))</f>
        <v/>
      </c>
      <c r="JJ57" s="149"/>
      <c r="JX57" s="149"/>
      <c r="JY57" s="138"/>
      <c r="KF57" s="153"/>
      <c r="KG57" s="152"/>
      <c r="KT57" s="36">
        <f>KT56</f>
        <v>999</v>
      </c>
      <c r="LA57" s="149"/>
      <c r="LO57" s="149"/>
      <c r="LP57" s="138"/>
      <c r="LW57" s="153"/>
      <c r="LX57" s="152"/>
    </row>
    <row r="58" spans="1:336" ht="14.25" hidden="1" customHeight="1" thickBot="1" x14ac:dyDescent="0.3">
      <c r="A58" s="375" t="str">
        <f>'Vážní listina'!HQ57</f>
        <v/>
      </c>
      <c r="B58" s="374" t="str">
        <f>'Vážní listina'!HR57</f>
        <v/>
      </c>
      <c r="C58" s="363" t="str">
        <f>IF(BP58="","",(IF(BP58&gt;1,$BH$2,"")))</f>
        <v/>
      </c>
      <c r="D58" s="361" t="str">
        <f>'Vážní listina'!HK57</f>
        <v/>
      </c>
      <c r="E58" s="343" t="str">
        <f>'Vážní listina'!HL57</f>
        <v/>
      </c>
      <c r="F58" s="26"/>
      <c r="G58" s="33"/>
      <c r="H58" s="334" t="str">
        <f>IF(H5="","",'Vážní listina'!HM57)</f>
        <v/>
      </c>
      <c r="I58" s="26"/>
      <c r="J58" s="33"/>
      <c r="K58" s="334" t="str">
        <f>IF(K5="","",DV58)</f>
        <v/>
      </c>
      <c r="L58" s="26"/>
      <c r="M58" s="33"/>
      <c r="N58" s="334" t="str">
        <f>IF(N5="","",FZ58)</f>
        <v/>
      </c>
      <c r="O58" s="26"/>
      <c r="P58" s="33"/>
      <c r="Q58" s="334" t="str">
        <f>IF(Q5="","",IP58)</f>
        <v/>
      </c>
      <c r="R58" s="26"/>
      <c r="S58" s="33"/>
      <c r="T58" s="334" t="str">
        <f>IF(T5="","",KF58)</f>
        <v/>
      </c>
      <c r="U58" s="26"/>
      <c r="V58" s="33"/>
      <c r="W58" s="337" t="str">
        <f>IF(W5="","",LW58)</f>
        <v/>
      </c>
      <c r="X58" s="26"/>
      <c r="Y58" s="33"/>
      <c r="Z58" s="338" t="str">
        <f>IF(A58="","",(F58+I58+L58+O58+R58+U58+X58))</f>
        <v/>
      </c>
      <c r="AA58" s="335" t="str">
        <f>IF(A58="","",(F59+I59+L59+O59+R59+U59+X59))</f>
        <v/>
      </c>
      <c r="AB58" s="336" t="str">
        <f>IF(A58="","",(G58+J58+M58+P58+S58+V58+Y58))</f>
        <v/>
      </c>
      <c r="AC58" s="355" t="str">
        <f>HF130</f>
        <v/>
      </c>
      <c r="AD58" s="328"/>
      <c r="AE58" s="328" t="str">
        <f>IF(D58="","",(IF('Tabulka finále'!$BK$47=1,(IF('Tabulka finále'!$K$56="","",(IF($AC$5="","",(IF($H$5="","",(FW168))))))),"")))</f>
        <v/>
      </c>
      <c r="AG58" s="272"/>
      <c r="AH58" s="273"/>
      <c r="AI58" s="273"/>
      <c r="AJ58" s="273"/>
      <c r="AK58" s="273"/>
      <c r="AL58" s="273"/>
      <c r="AM58" s="273"/>
      <c r="AN58" s="273"/>
      <c r="AO58" s="273"/>
      <c r="AP58" s="273"/>
      <c r="AQ58" s="273"/>
      <c r="AR58" s="273"/>
      <c r="AS58" s="273"/>
      <c r="AT58" s="273"/>
      <c r="AU58" s="273"/>
      <c r="AV58" s="273"/>
      <c r="AW58" s="273"/>
      <c r="AX58" s="273"/>
      <c r="AY58" s="273"/>
      <c r="AZ58" s="273"/>
      <c r="BA58" s="273"/>
      <c r="BB58" s="273"/>
      <c r="BC58" s="273"/>
      <c r="BD58" s="273"/>
      <c r="BG58" s="36">
        <f>IF(A58="",0,1)</f>
        <v>0</v>
      </c>
      <c r="BH58" s="36" t="str">
        <f>(IF(F58="","",(IF(F58&lt;2,1,0))))</f>
        <v/>
      </c>
      <c r="BI58" s="36" t="str">
        <f>(IF(I58="","",(IF(I58&lt;2,1,0))))</f>
        <v/>
      </c>
      <c r="BJ58" s="36" t="str">
        <f>(IF(L58="","",(IF(L58&lt;2,1,0))))</f>
        <v/>
      </c>
      <c r="BK58" s="36" t="str">
        <f>(IF(O58="","",(IF(O58&lt;2,1,0))))</f>
        <v/>
      </c>
      <c r="BL58" s="36" t="str">
        <f>IF(R58="","",(IF(R58&lt;2,1,0)))</f>
        <v/>
      </c>
      <c r="BM58" s="36" t="str">
        <f>IF(U58="","",(IF(U58&lt;2,1,0)))</f>
        <v/>
      </c>
      <c r="BN58" s="36" t="str">
        <f>IF(X58="","",(IF(X58&lt;2,1,0)))</f>
        <v/>
      </c>
      <c r="BP58" s="36" t="str">
        <f>IF(BG58=0,"",(SUM(BH58:BN58)))</f>
        <v/>
      </c>
      <c r="BV58" s="36">
        <f t="shared" si="191"/>
        <v>999</v>
      </c>
      <c r="BW58" s="36">
        <f t="shared" si="192"/>
        <v>999</v>
      </c>
      <c r="BX58" s="36">
        <f t="shared" si="344"/>
        <v>19</v>
      </c>
      <c r="BY58" s="36">
        <f t="shared" si="218"/>
        <v>999</v>
      </c>
      <c r="DV58" s="36" t="str">
        <f>DT49</f>
        <v/>
      </c>
      <c r="FZ58" s="36" t="str">
        <f>FX49</f>
        <v/>
      </c>
      <c r="GA58" s="152"/>
      <c r="HA58" s="153"/>
      <c r="HB58" s="152"/>
      <c r="HV58" s="138"/>
      <c r="IH58" s="149"/>
      <c r="II58" s="138"/>
      <c r="IP58" s="36" t="str">
        <f>IN49</f>
        <v/>
      </c>
      <c r="IQ58" s="152"/>
      <c r="JJ58" s="149"/>
      <c r="JX58" s="149"/>
      <c r="JY58" s="138"/>
      <c r="KF58" s="153" t="str">
        <f>KD49</f>
        <v/>
      </c>
      <c r="KG58" s="152"/>
      <c r="LA58" s="149"/>
      <c r="LO58" s="149"/>
      <c r="LP58" s="138"/>
      <c r="LW58" s="153" t="str">
        <f>LU49</f>
        <v/>
      </c>
      <c r="LX58" s="152"/>
    </row>
    <row r="59" spans="1:336" ht="14.25" hidden="1" customHeight="1" thickBot="1" x14ac:dyDescent="0.3">
      <c r="A59" s="375"/>
      <c r="B59" s="374"/>
      <c r="C59" s="363"/>
      <c r="D59" s="362"/>
      <c r="E59" s="346"/>
      <c r="F59" s="29"/>
      <c r="G59" s="30"/>
      <c r="H59" s="334"/>
      <c r="I59" s="29"/>
      <c r="J59" s="30"/>
      <c r="K59" s="334"/>
      <c r="L59" s="29"/>
      <c r="M59" s="30"/>
      <c r="N59" s="334"/>
      <c r="O59" s="29"/>
      <c r="P59" s="30"/>
      <c r="Q59" s="334"/>
      <c r="R59" s="29"/>
      <c r="S59" s="30"/>
      <c r="T59" s="334"/>
      <c r="U59" s="29"/>
      <c r="V59" s="30"/>
      <c r="W59" s="337"/>
      <c r="X59" s="29"/>
      <c r="Y59" s="30"/>
      <c r="Z59" s="338"/>
      <c r="AA59" s="335"/>
      <c r="AB59" s="336"/>
      <c r="AC59" s="355"/>
      <c r="AD59" s="328"/>
      <c r="AE59" s="328"/>
      <c r="AG59" s="274"/>
      <c r="AH59" s="273"/>
      <c r="AI59" s="403" t="str">
        <f>AH38</f>
        <v>3. kolo</v>
      </c>
      <c r="AJ59" s="403"/>
      <c r="AK59" s="273"/>
      <c r="AL59" s="273"/>
      <c r="AM59" s="273"/>
      <c r="AN59" s="403" t="str">
        <f>AM38</f>
        <v>4. kolo</v>
      </c>
      <c r="AO59" s="403"/>
      <c r="AP59" s="273"/>
      <c r="AQ59" s="273"/>
      <c r="AR59" s="273"/>
      <c r="AS59" s="403" t="str">
        <f>AR38</f>
        <v>5. kolo</v>
      </c>
      <c r="AT59" s="403"/>
      <c r="AU59" s="273"/>
      <c r="AV59" s="273"/>
      <c r="AW59" s="273"/>
      <c r="AX59" s="403" t="str">
        <f>AW38</f>
        <v>6. kolo</v>
      </c>
      <c r="AY59" s="403"/>
      <c r="AZ59" s="273"/>
      <c r="BA59" s="273"/>
      <c r="BB59" s="273"/>
      <c r="BC59" s="403" t="str">
        <f>BB38</f>
        <v>7. kolo</v>
      </c>
      <c r="BD59" s="403"/>
      <c r="BH59" s="36" t="str">
        <f>IF(E59=$BQ$2,"",(IF(A59="","",(IF(F59="","",(IF(F59&lt;2,1,0)))))))</f>
        <v/>
      </c>
      <c r="BI59" s="36" t="str">
        <f>IF(H59=$BQ$2,"",(IF(A59="","",(IF(I59="","",(IF(I59&lt;2,1,0)))))))</f>
        <v/>
      </c>
      <c r="BJ59" s="36" t="str">
        <f>IF(K59=$BQ$2,"",(IF(A59="","",(IF(L59="","",(IF(L59&lt;2,1,0)))))))</f>
        <v/>
      </c>
      <c r="BK59" s="36" t="str">
        <f>IF(W59=$BQ$2,"",(IF(A59="","",(IF(X59="","",(IF(X59&lt;2,1,0)))))))</f>
        <v/>
      </c>
      <c r="BP59" s="36" t="str">
        <f>IF(BH59="","",(SUM(BH59:BK59)))</f>
        <v/>
      </c>
      <c r="BV59" s="36">
        <f t="shared" si="191"/>
        <v>999</v>
      </c>
      <c r="BW59" s="36">
        <f t="shared" si="192"/>
        <v>999</v>
      </c>
      <c r="BX59" s="36">
        <f t="shared" si="344"/>
        <v>20</v>
      </c>
      <c r="BY59" s="36">
        <f t="shared" si="218"/>
        <v>999</v>
      </c>
      <c r="GA59" s="152"/>
      <c r="HA59" s="153"/>
      <c r="HB59" s="152"/>
      <c r="HV59" s="138"/>
      <c r="IH59" s="149"/>
      <c r="II59" s="138"/>
      <c r="IQ59" s="152"/>
      <c r="JJ59" s="149"/>
      <c r="JX59" s="149"/>
      <c r="JY59" s="138"/>
      <c r="KF59" s="153"/>
      <c r="KG59" s="152"/>
      <c r="LA59" s="149"/>
      <c r="LO59" s="149"/>
      <c r="LP59" s="138"/>
      <c r="LW59" s="153"/>
      <c r="LX59" s="152"/>
    </row>
    <row r="60" spans="1:336" ht="14.25" hidden="1" customHeight="1" thickBot="1" x14ac:dyDescent="0.3">
      <c r="A60" s="375" t="str">
        <f>'Vážní listina'!HQ59</f>
        <v/>
      </c>
      <c r="B60" s="374" t="str">
        <f>'Vážní listina'!HR59</f>
        <v/>
      </c>
      <c r="C60" s="363" t="str">
        <f>IF(BP60="","",(IF(BP60&gt;1,$BH$2,"")))</f>
        <v/>
      </c>
      <c r="D60" s="361" t="str">
        <f>'Vážní listina'!HK59</f>
        <v/>
      </c>
      <c r="E60" s="343" t="str">
        <f>'Vážní listina'!HL59</f>
        <v/>
      </c>
      <c r="F60" s="26"/>
      <c r="G60" s="33"/>
      <c r="H60" s="343" t="str">
        <f>IF(H5="","",'Vážní listina'!HM59)</f>
        <v/>
      </c>
      <c r="I60" s="26"/>
      <c r="J60" s="33"/>
      <c r="K60" s="334" t="str">
        <f>IF(K5="","",DV60)</f>
        <v/>
      </c>
      <c r="L60" s="26"/>
      <c r="M60" s="33"/>
      <c r="N60" s="334" t="str">
        <f>IF(N5="","",FZ60)</f>
        <v/>
      </c>
      <c r="O60" s="26"/>
      <c r="P60" s="33"/>
      <c r="Q60" s="334" t="str">
        <f>IF(Q5="","",IP60)</f>
        <v/>
      </c>
      <c r="R60" s="26"/>
      <c r="S60" s="33"/>
      <c r="T60" s="334" t="str">
        <f>IF(T5="","",KF60)</f>
        <v/>
      </c>
      <c r="U60" s="26"/>
      <c r="V60" s="33"/>
      <c r="W60" s="337" t="str">
        <f>IF(W5="","",LW60)</f>
        <v/>
      </c>
      <c r="X60" s="26"/>
      <c r="Y60" s="33"/>
      <c r="Z60" s="338" t="str">
        <f>IF(A60="","",(F60+I60+L60+O60+R60+U60+X60))</f>
        <v/>
      </c>
      <c r="AA60" s="335" t="str">
        <f>IF(A60="","",(F61+I61+L61+O61+R61+U61+X61))</f>
        <v/>
      </c>
      <c r="AB60" s="336" t="str">
        <f>IF(A60="","",(G60+J60+M60+P60+S60+V60+Y60))</f>
        <v/>
      </c>
      <c r="AC60" s="355" t="str">
        <f>HF132</f>
        <v/>
      </c>
      <c r="AD60" s="329"/>
      <c r="AE60" s="328" t="str">
        <f>IF(D60="","",(IF('Tabulka finále'!$BK$47=1,(IF('Tabulka finále'!$K$56="","",(IF($AC$5="","",(IF($H$5="","",(FW170))))))),"")))</f>
        <v/>
      </c>
      <c r="AG60" s="274"/>
      <c r="AH60" s="273"/>
      <c r="AI60" s="273"/>
      <c r="AJ60" s="273"/>
      <c r="AK60" s="273"/>
      <c r="AL60" s="273"/>
      <c r="AM60" s="273"/>
      <c r="AN60" s="273"/>
      <c r="AO60" s="273"/>
      <c r="AP60" s="273"/>
      <c r="AQ60" s="273"/>
      <c r="AR60" s="273"/>
      <c r="AS60" s="273"/>
      <c r="AT60" s="273"/>
      <c r="AU60" s="273"/>
      <c r="AV60" s="273"/>
      <c r="AW60" s="273"/>
      <c r="AX60" s="273"/>
      <c r="AY60" s="273"/>
      <c r="AZ60" s="273"/>
      <c r="BA60" s="273"/>
      <c r="BB60" s="273"/>
      <c r="BC60" s="273"/>
      <c r="BD60" s="273"/>
      <c r="BG60" s="36">
        <f>IF(A60="",0,1)</f>
        <v>0</v>
      </c>
      <c r="BH60" s="36" t="str">
        <f>(IF(F60="","",(IF(F60&lt;2,1,0))))</f>
        <v/>
      </c>
      <c r="BI60" s="36" t="str">
        <f>(IF(I60="","",(IF(I60&lt;2,1,0))))</f>
        <v/>
      </c>
      <c r="BJ60" s="36" t="str">
        <f>(IF(L60="","",(IF(L60&lt;2,1,0))))</f>
        <v/>
      </c>
      <c r="BK60" s="36" t="str">
        <f>(IF(O60="","",(IF(O60&lt;2,1,0))))</f>
        <v/>
      </c>
      <c r="BL60" s="36" t="str">
        <f>IF(R60="","",(IF(R60&lt;2,1,0)))</f>
        <v/>
      </c>
      <c r="BM60" s="36" t="str">
        <f>IF(U60="","",(IF(U60&lt;2,1,0)))</f>
        <v/>
      </c>
      <c r="BN60" s="36" t="str">
        <f>IF(X60="","",(IF(X60&lt;2,1,0)))</f>
        <v/>
      </c>
      <c r="BP60" s="36" t="str">
        <f>IF(BG60=0,"",(SUM(BH60:BN60)))</f>
        <v/>
      </c>
      <c r="BV60" s="36">
        <f t="shared" si="191"/>
        <v>999</v>
      </c>
      <c r="BW60" s="36">
        <f t="shared" si="192"/>
        <v>999</v>
      </c>
      <c r="BX60" s="36">
        <f t="shared" si="344"/>
        <v>21</v>
      </c>
      <c r="BY60" s="36">
        <f t="shared" si="218"/>
        <v>999</v>
      </c>
      <c r="DV60" s="36" t="str">
        <f>DT50</f>
        <v/>
      </c>
      <c r="FZ60" s="36" t="str">
        <f>FX50</f>
        <v/>
      </c>
      <c r="GA60" s="152"/>
      <c r="HA60" s="153"/>
      <c r="HB60" s="152"/>
      <c r="HV60" s="138"/>
      <c r="IH60" s="149"/>
      <c r="II60" s="138"/>
      <c r="IP60" s="36" t="str">
        <f>IN50</f>
        <v/>
      </c>
      <c r="IQ60" s="152"/>
      <c r="JJ60" s="149"/>
      <c r="JX60" s="149"/>
      <c r="JY60" s="138"/>
      <c r="KF60" s="153" t="str">
        <f>KD50</f>
        <v/>
      </c>
      <c r="KG60" s="152"/>
      <c r="LA60" s="149"/>
      <c r="LO60" s="149"/>
      <c r="LP60" s="138"/>
      <c r="LW60" s="153" t="str">
        <f>LU50</f>
        <v/>
      </c>
      <c r="LX60" s="152"/>
    </row>
    <row r="61" spans="1:336" ht="14.25" hidden="1" customHeight="1" thickBot="1" x14ac:dyDescent="0.3">
      <c r="A61" s="375"/>
      <c r="B61" s="374"/>
      <c r="C61" s="363"/>
      <c r="D61" s="362"/>
      <c r="E61" s="346"/>
      <c r="F61" s="29"/>
      <c r="G61" s="30"/>
      <c r="H61" s="346"/>
      <c r="I61" s="29"/>
      <c r="J61" s="30"/>
      <c r="K61" s="334"/>
      <c r="L61" s="29"/>
      <c r="M61" s="30"/>
      <c r="N61" s="334"/>
      <c r="O61" s="29"/>
      <c r="P61" s="30"/>
      <c r="Q61" s="334"/>
      <c r="R61" s="29"/>
      <c r="S61" s="30"/>
      <c r="T61" s="334"/>
      <c r="U61" s="29"/>
      <c r="V61" s="30"/>
      <c r="W61" s="337"/>
      <c r="X61" s="29"/>
      <c r="Y61" s="30"/>
      <c r="Z61" s="338"/>
      <c r="AA61" s="335"/>
      <c r="AB61" s="336"/>
      <c r="AC61" s="355"/>
      <c r="AD61" s="327"/>
      <c r="AE61" s="328"/>
      <c r="AG61" s="273">
        <v>1</v>
      </c>
      <c r="AH61" s="273"/>
      <c r="AI61" s="273">
        <f t="shared" ref="AI61:AJ76" si="367">IF((AH157)=0,"",AH157)</f>
        <v>2</v>
      </c>
      <c r="AJ61" s="273">
        <f t="shared" si="367"/>
        <v>3</v>
      </c>
      <c r="AK61" s="273"/>
      <c r="AL61" s="273"/>
      <c r="AM61" s="273"/>
      <c r="AN61" s="273" t="str">
        <f t="shared" ref="AN61:AO76" si="368">IF((AM157)=0,"",AM157)</f>
        <v/>
      </c>
      <c r="AO61" s="273" t="str">
        <f t="shared" si="368"/>
        <v/>
      </c>
      <c r="AP61" s="273"/>
      <c r="AQ61" s="273"/>
      <c r="AR61" s="273"/>
      <c r="AS61" s="273" t="str">
        <f t="shared" ref="AS61:AT76" si="369">IF((AR157)=0,"",AR157)</f>
        <v/>
      </c>
      <c r="AT61" s="273" t="str">
        <f t="shared" si="369"/>
        <v/>
      </c>
      <c r="AU61" s="273"/>
      <c r="AV61" s="273"/>
      <c r="AW61" s="273"/>
      <c r="AX61" s="273" t="str">
        <f t="shared" ref="AX61:AY76" si="370">IF((AW157)=0,"",AW157)</f>
        <v/>
      </c>
      <c r="AY61" s="273" t="str">
        <f t="shared" si="370"/>
        <v/>
      </c>
      <c r="AZ61" s="273"/>
      <c r="BA61" s="273"/>
      <c r="BB61" s="273"/>
      <c r="BC61" s="273" t="str">
        <f t="shared" ref="BC61:BD76" si="371">IF((BB157)=0,"",BB157)</f>
        <v/>
      </c>
      <c r="BD61" s="273" t="str">
        <f t="shared" si="371"/>
        <v/>
      </c>
      <c r="BH61" s="36" t="str">
        <f>IF(E61=$BQ$2,"",(IF(A61="","",(IF(F61="","",(IF(F61&lt;2,1,0)))))))</f>
        <v/>
      </c>
      <c r="BI61" s="36" t="str">
        <f>IF(H61=$BQ$2,"",(IF(A61="","",(IF(I61="","",(IF(I61&lt;2,1,0)))))))</f>
        <v/>
      </c>
      <c r="BJ61" s="36" t="str">
        <f>IF(K61=$BQ$2,"",(IF(A61="","",(IF(L61="","",(IF(L61&lt;2,1,0)))))))</f>
        <v/>
      </c>
      <c r="BK61" s="36" t="str">
        <f>IF(W61=$BQ$2,"",(IF(A61="","",(IF(X61="","",(IF(X61&lt;2,1,0)))))))</f>
        <v/>
      </c>
      <c r="BP61" s="36" t="str">
        <f>IF(BH61="","",(SUM(BH61:BK61)))</f>
        <v/>
      </c>
      <c r="BV61" s="36">
        <f t="shared" si="191"/>
        <v>999</v>
      </c>
      <c r="BW61" s="36">
        <f t="shared" si="192"/>
        <v>999</v>
      </c>
      <c r="BX61" s="36">
        <f t="shared" si="344"/>
        <v>22</v>
      </c>
      <c r="BY61" s="36">
        <f t="shared" si="218"/>
        <v>999</v>
      </c>
      <c r="GA61" s="152"/>
      <c r="HA61" s="153"/>
      <c r="HB61" s="152"/>
      <c r="HV61" s="138"/>
      <c r="IH61" s="149"/>
      <c r="II61" s="138"/>
      <c r="IQ61" s="152"/>
      <c r="JJ61" s="149"/>
      <c r="JX61" s="149"/>
      <c r="JY61" s="138"/>
      <c r="KF61" s="153"/>
      <c r="KG61" s="152"/>
      <c r="LA61" s="149"/>
      <c r="LO61" s="149"/>
      <c r="LP61" s="138"/>
      <c r="LW61" s="153"/>
      <c r="LX61" s="152"/>
    </row>
    <row r="62" spans="1:336" ht="14.25" hidden="1" customHeight="1" thickBot="1" x14ac:dyDescent="0.3">
      <c r="A62" s="375" t="str">
        <f>'Vážní listina'!HQ61</f>
        <v/>
      </c>
      <c r="B62" s="374" t="str">
        <f>'Vážní listina'!HR61</f>
        <v/>
      </c>
      <c r="C62" s="363" t="str">
        <f>IF(BP62="","",(IF(BP62&gt;1,$BH$2,"")))</f>
        <v/>
      </c>
      <c r="D62" s="361" t="str">
        <f>'Vážní listina'!HK61</f>
        <v/>
      </c>
      <c r="E62" s="343" t="str">
        <f>'Vážní listina'!HL61</f>
        <v/>
      </c>
      <c r="F62" s="26"/>
      <c r="G62" s="32"/>
      <c r="H62" s="334" t="str">
        <f>IF(H5="","",'Vážní listina'!HM61)</f>
        <v/>
      </c>
      <c r="I62" s="26"/>
      <c r="J62" s="32"/>
      <c r="K62" s="334" t="str">
        <f>IF(K5="","",DV62)</f>
        <v/>
      </c>
      <c r="L62" s="26"/>
      <c r="M62" s="32"/>
      <c r="N62" s="334" t="str">
        <f>IF(N5="","",FZ62)</f>
        <v/>
      </c>
      <c r="O62" s="26"/>
      <c r="P62" s="32"/>
      <c r="Q62" s="334" t="str">
        <f>IF(Q5="","",IP62)</f>
        <v/>
      </c>
      <c r="R62" s="26"/>
      <c r="S62" s="32"/>
      <c r="T62" s="334" t="str">
        <f>IF(T5="","",KF62)</f>
        <v/>
      </c>
      <c r="U62" s="26"/>
      <c r="V62" s="32"/>
      <c r="W62" s="337" t="str">
        <f>IF(W5="","",LW62)</f>
        <v/>
      </c>
      <c r="X62" s="26"/>
      <c r="Y62" s="32"/>
      <c r="Z62" s="338" t="str">
        <f>IF(A62="","",(F62+I62+L62+O62+R62+U62+X62))</f>
        <v/>
      </c>
      <c r="AA62" s="335" t="str">
        <f>IF(A62="","",(F63+I63+L63+O63+R63+U63+X63))</f>
        <v/>
      </c>
      <c r="AB62" s="336" t="str">
        <f>IF(A62="","",(G62+J62+M62+P62+S62+V62+Y62))</f>
        <v/>
      </c>
      <c r="AC62" s="355" t="str">
        <f>HF134</f>
        <v/>
      </c>
      <c r="AD62" s="328"/>
      <c r="AE62" s="328" t="str">
        <f>IF(D62="","",(IF('Tabulka finále'!$BK$47=1,(IF('Tabulka finále'!$K$56="","",(IF($AC$5="","",(IF($H$5="","",(FW172))))))),"")))</f>
        <v/>
      </c>
      <c r="AG62" s="273">
        <v>2</v>
      </c>
      <c r="AH62" s="273"/>
      <c r="AI62" s="273">
        <f t="shared" si="367"/>
        <v>5</v>
      </c>
      <c r="AJ62" s="273">
        <f t="shared" si="367"/>
        <v>6</v>
      </c>
      <c r="AK62" s="273"/>
      <c r="AL62" s="273"/>
      <c r="AM62" s="273"/>
      <c r="AN62" s="273" t="str">
        <f t="shared" si="368"/>
        <v/>
      </c>
      <c r="AO62" s="273" t="str">
        <f t="shared" si="368"/>
        <v/>
      </c>
      <c r="AP62" s="273"/>
      <c r="AQ62" s="273"/>
      <c r="AR62" s="273"/>
      <c r="AS62" s="273" t="str">
        <f t="shared" si="369"/>
        <v/>
      </c>
      <c r="AT62" s="273" t="str">
        <f t="shared" si="369"/>
        <v/>
      </c>
      <c r="AU62" s="273"/>
      <c r="AV62" s="273"/>
      <c r="AW62" s="273"/>
      <c r="AX62" s="273" t="str">
        <f t="shared" si="370"/>
        <v/>
      </c>
      <c r="AY62" s="273" t="str">
        <f t="shared" si="370"/>
        <v/>
      </c>
      <c r="AZ62" s="273"/>
      <c r="BA62" s="273"/>
      <c r="BB62" s="273"/>
      <c r="BC62" s="273" t="str">
        <f t="shared" si="371"/>
        <v/>
      </c>
      <c r="BD62" s="273" t="str">
        <f t="shared" si="371"/>
        <v/>
      </c>
      <c r="BG62" s="36">
        <f>IF(A62="",0,1)</f>
        <v>0</v>
      </c>
      <c r="BH62" s="36" t="str">
        <f>(IF(F62="","",(IF(F62&lt;2,1,0))))</f>
        <v/>
      </c>
      <c r="BI62" s="36" t="str">
        <f>(IF(I62="","",(IF(I62&lt;2,1,0))))</f>
        <v/>
      </c>
      <c r="BJ62" s="36" t="str">
        <f>(IF(L62="","",(IF(L62&lt;2,1,0))))</f>
        <v/>
      </c>
      <c r="BK62" s="36" t="str">
        <f>(IF(O62="","",(IF(O62&lt;2,1,0))))</f>
        <v/>
      </c>
      <c r="BL62" s="36" t="str">
        <f>IF(R62="","",(IF(R62&lt;2,1,0)))</f>
        <v/>
      </c>
      <c r="BM62" s="36" t="str">
        <f>IF(U62="","",(IF(U62&lt;2,1,0)))</f>
        <v/>
      </c>
      <c r="BN62" s="36" t="str">
        <f>IF(X62="","",(IF(X62&lt;2,1,0)))</f>
        <v/>
      </c>
      <c r="BP62" s="36" t="str">
        <f>IF(BG62=0,"",(SUM(BH62:BN62)))</f>
        <v/>
      </c>
      <c r="BV62" s="36">
        <f t="shared" si="191"/>
        <v>999</v>
      </c>
      <c r="BW62" s="36">
        <f t="shared" si="192"/>
        <v>999</v>
      </c>
      <c r="BX62" s="36">
        <f t="shared" si="344"/>
        <v>23</v>
      </c>
      <c r="BY62" s="36">
        <f t="shared" si="218"/>
        <v>999</v>
      </c>
      <c r="DV62" s="36" t="str">
        <f>DT51</f>
        <v/>
      </c>
      <c r="FZ62" s="36" t="str">
        <f>FX51</f>
        <v/>
      </c>
      <c r="GA62" s="152"/>
      <c r="HA62" s="153"/>
      <c r="HB62" s="152"/>
      <c r="HV62" s="138"/>
      <c r="IH62" s="149"/>
      <c r="II62" s="138"/>
      <c r="IP62" s="36" t="str">
        <f>IN51</f>
        <v/>
      </c>
      <c r="IQ62" s="152"/>
      <c r="JJ62" s="149"/>
      <c r="JX62" s="149"/>
      <c r="JY62" s="138"/>
      <c r="KF62" s="153" t="str">
        <f>KD51</f>
        <v/>
      </c>
      <c r="KG62" s="152"/>
      <c r="LA62" s="149"/>
      <c r="LO62" s="149"/>
      <c r="LP62" s="138"/>
      <c r="LW62" s="153" t="str">
        <f>LU51</f>
        <v/>
      </c>
      <c r="LX62" s="152"/>
    </row>
    <row r="63" spans="1:336" ht="14.25" hidden="1" customHeight="1" thickBot="1" x14ac:dyDescent="0.3">
      <c r="A63" s="375"/>
      <c r="B63" s="374"/>
      <c r="C63" s="363"/>
      <c r="D63" s="362"/>
      <c r="E63" s="346"/>
      <c r="F63" s="29"/>
      <c r="G63" s="30"/>
      <c r="H63" s="334"/>
      <c r="I63" s="29"/>
      <c r="J63" s="30"/>
      <c r="K63" s="334"/>
      <c r="L63" s="29"/>
      <c r="M63" s="30"/>
      <c r="N63" s="334"/>
      <c r="O63" s="29"/>
      <c r="P63" s="30"/>
      <c r="Q63" s="334"/>
      <c r="R63" s="29"/>
      <c r="S63" s="30"/>
      <c r="T63" s="334"/>
      <c r="U63" s="29"/>
      <c r="V63" s="30"/>
      <c r="W63" s="337"/>
      <c r="X63" s="29"/>
      <c r="Y63" s="30"/>
      <c r="Z63" s="338"/>
      <c r="AA63" s="335"/>
      <c r="AB63" s="336"/>
      <c r="AC63" s="355"/>
      <c r="AD63" s="328"/>
      <c r="AE63" s="328"/>
      <c r="AG63" s="273">
        <v>3</v>
      </c>
      <c r="AH63" s="273"/>
      <c r="AI63" s="273" t="str">
        <f t="shared" si="367"/>
        <v/>
      </c>
      <c r="AJ63" s="273" t="str">
        <f t="shared" si="367"/>
        <v/>
      </c>
      <c r="AK63" s="273"/>
      <c r="AL63" s="273"/>
      <c r="AM63" s="273"/>
      <c r="AN63" s="273" t="str">
        <f t="shared" si="368"/>
        <v/>
      </c>
      <c r="AO63" s="273" t="str">
        <f t="shared" si="368"/>
        <v/>
      </c>
      <c r="AP63" s="273"/>
      <c r="AQ63" s="273"/>
      <c r="AR63" s="273"/>
      <c r="AS63" s="273" t="str">
        <f t="shared" si="369"/>
        <v/>
      </c>
      <c r="AT63" s="273" t="str">
        <f t="shared" si="369"/>
        <v/>
      </c>
      <c r="AU63" s="273"/>
      <c r="AV63" s="273"/>
      <c r="AW63" s="273"/>
      <c r="AX63" s="273" t="str">
        <f t="shared" si="370"/>
        <v/>
      </c>
      <c r="AY63" s="273" t="str">
        <f t="shared" si="370"/>
        <v/>
      </c>
      <c r="AZ63" s="273"/>
      <c r="BA63" s="273"/>
      <c r="BB63" s="273"/>
      <c r="BC63" s="273" t="str">
        <f t="shared" si="371"/>
        <v/>
      </c>
      <c r="BD63" s="273" t="str">
        <f t="shared" si="371"/>
        <v/>
      </c>
      <c r="BH63" s="36" t="str">
        <f>IF(E63=$BQ$2,"",(IF(A63="","",(IF(F63="","",(IF(F63&lt;2,1,0)))))))</f>
        <v/>
      </c>
      <c r="BI63" s="36" t="str">
        <f>IF(H63=$BQ$2,"",(IF(A63="","",(IF(I63="","",(IF(I63&lt;2,1,0)))))))</f>
        <v/>
      </c>
      <c r="BJ63" s="36" t="str">
        <f>IF(K63=$BQ$2,"",(IF(A63="","",(IF(L63="","",(IF(L63&lt;2,1,0)))))))</f>
        <v/>
      </c>
      <c r="BK63" s="36" t="str">
        <f>IF(W63=$BQ$2,"",(IF(A63="","",(IF(X63="","",(IF(X63&lt;2,1,0)))))))</f>
        <v/>
      </c>
      <c r="BP63" s="36" t="str">
        <f>IF(BH63="","",(SUM(BH63:BK63)))</f>
        <v/>
      </c>
      <c r="BV63" s="36">
        <f t="shared" si="191"/>
        <v>999</v>
      </c>
      <c r="BW63" s="36">
        <f t="shared" si="192"/>
        <v>999</v>
      </c>
      <c r="BX63" s="36">
        <f t="shared" si="344"/>
        <v>24</v>
      </c>
      <c r="BY63" s="36">
        <f t="shared" si="218"/>
        <v>999</v>
      </c>
      <c r="GA63" s="152"/>
      <c r="HA63" s="153"/>
      <c r="HB63" s="152"/>
      <c r="HV63" s="138"/>
      <c r="IH63" s="149"/>
      <c r="II63" s="138"/>
      <c r="IQ63" s="152"/>
      <c r="JJ63" s="149"/>
      <c r="JX63" s="149"/>
      <c r="JY63" s="138"/>
      <c r="KF63" s="153"/>
      <c r="KG63" s="152"/>
      <c r="LA63" s="149"/>
      <c r="LO63" s="149"/>
      <c r="LP63" s="138"/>
      <c r="LW63" s="153"/>
      <c r="LX63" s="152"/>
    </row>
    <row r="64" spans="1:336" ht="14.25" hidden="1" customHeight="1" thickBot="1" x14ac:dyDescent="0.3">
      <c r="A64" s="375" t="str">
        <f>'Vážní listina'!HQ63</f>
        <v/>
      </c>
      <c r="B64" s="374" t="str">
        <f>'Vážní listina'!HR63</f>
        <v/>
      </c>
      <c r="C64" s="363" t="str">
        <f>IF(BP64="","",(IF(BP64&gt;1,$BH$2,"")))</f>
        <v/>
      </c>
      <c r="D64" s="361" t="str">
        <f>'Vážní listina'!HK63</f>
        <v/>
      </c>
      <c r="E64" s="343" t="str">
        <f>'Vážní listina'!HL63</f>
        <v/>
      </c>
      <c r="F64" s="26"/>
      <c r="G64" s="33"/>
      <c r="H64" s="343" t="str">
        <f>IF(H5="","",'Vážní listina'!HM63)</f>
        <v/>
      </c>
      <c r="I64" s="26"/>
      <c r="J64" s="33"/>
      <c r="K64" s="334" t="str">
        <f>IF(K5="","",DV64)</f>
        <v/>
      </c>
      <c r="L64" s="26"/>
      <c r="M64" s="33"/>
      <c r="N64" s="334" t="str">
        <f>IF(N5="","",FZ64)</f>
        <v/>
      </c>
      <c r="O64" s="26"/>
      <c r="P64" s="33"/>
      <c r="Q64" s="334" t="str">
        <f>IF(Q5="","",IP64)</f>
        <v/>
      </c>
      <c r="R64" s="26"/>
      <c r="S64" s="33"/>
      <c r="T64" s="334" t="str">
        <f>IF(T5="","",KF64)</f>
        <v/>
      </c>
      <c r="U64" s="26"/>
      <c r="V64" s="33"/>
      <c r="W64" s="337" t="str">
        <f>IF(W5="","",LW64)</f>
        <v/>
      </c>
      <c r="X64" s="26"/>
      <c r="Y64" s="33"/>
      <c r="Z64" s="338" t="str">
        <f>IF(A64="","",(F64+I64+L64+O64+R64+U64+X64))</f>
        <v/>
      </c>
      <c r="AA64" s="335" t="str">
        <f>IF(A64="","",(F65+I65+L65+O65+R65+U65+X65))</f>
        <v/>
      </c>
      <c r="AB64" s="336" t="str">
        <f>IF(A64="","",(G64+J64+M64+P64+S64+V64+Y64))</f>
        <v/>
      </c>
      <c r="AC64" s="355" t="str">
        <f>HF136</f>
        <v/>
      </c>
      <c r="AD64" s="329"/>
      <c r="AE64" s="328" t="str">
        <f>IF(D64="","",(IF('Tabulka finále'!$BK$47=1,(IF('Tabulka finále'!$K$56="","",(IF($AC$5="","",(IF($H$5="","",(FW174))))))),"")))</f>
        <v/>
      </c>
      <c r="AG64" s="273">
        <v>4</v>
      </c>
      <c r="AH64" s="273"/>
      <c r="AI64" s="273" t="str">
        <f t="shared" si="367"/>
        <v/>
      </c>
      <c r="AJ64" s="273" t="str">
        <f t="shared" si="367"/>
        <v/>
      </c>
      <c r="AK64" s="273"/>
      <c r="AL64" s="273"/>
      <c r="AM64" s="273"/>
      <c r="AN64" s="273" t="str">
        <f t="shared" si="368"/>
        <v/>
      </c>
      <c r="AO64" s="273" t="str">
        <f t="shared" si="368"/>
        <v/>
      </c>
      <c r="AP64" s="273"/>
      <c r="AQ64" s="273"/>
      <c r="AR64" s="273"/>
      <c r="AS64" s="273" t="str">
        <f t="shared" si="369"/>
        <v/>
      </c>
      <c r="AT64" s="273" t="str">
        <f t="shared" si="369"/>
        <v/>
      </c>
      <c r="AU64" s="273"/>
      <c r="AV64" s="273"/>
      <c r="AW64" s="273"/>
      <c r="AX64" s="273" t="str">
        <f t="shared" si="370"/>
        <v/>
      </c>
      <c r="AY64" s="273" t="str">
        <f t="shared" si="370"/>
        <v/>
      </c>
      <c r="AZ64" s="273"/>
      <c r="BA64" s="273"/>
      <c r="BB64" s="273"/>
      <c r="BC64" s="273" t="str">
        <f t="shared" si="371"/>
        <v/>
      </c>
      <c r="BD64" s="273" t="str">
        <f t="shared" si="371"/>
        <v/>
      </c>
      <c r="BG64" s="36">
        <f>IF(A64="",0,1)</f>
        <v>0</v>
      </c>
      <c r="BH64" s="36" t="str">
        <f>(IF(F64="","",(IF(F64&lt;2,1,0))))</f>
        <v/>
      </c>
      <c r="BI64" s="36" t="str">
        <f>(IF(I64="","",(IF(I64&lt;2,1,0))))</f>
        <v/>
      </c>
      <c r="BJ64" s="36" t="str">
        <f>(IF(L64="","",(IF(L64&lt;2,1,0))))</f>
        <v/>
      </c>
      <c r="BK64" s="36" t="str">
        <f>(IF(O64="","",(IF(O64&lt;2,1,0))))</f>
        <v/>
      </c>
      <c r="BL64" s="36" t="str">
        <f>IF(R64="","",(IF(R64&lt;2,1,0)))</f>
        <v/>
      </c>
      <c r="BM64" s="36" t="str">
        <f>IF(U64="","",(IF(U64&lt;2,1,0)))</f>
        <v/>
      </c>
      <c r="BN64" s="36" t="str">
        <f>IF(X64="","",(IF(X64&lt;2,1,0)))</f>
        <v/>
      </c>
      <c r="BP64" s="36" t="str">
        <f>IF(BG64=0,"",(SUM(BH64:BN64)))</f>
        <v/>
      </c>
      <c r="BV64" s="36">
        <f t="shared" si="191"/>
        <v>999</v>
      </c>
      <c r="BW64" s="36">
        <f t="shared" si="192"/>
        <v>999</v>
      </c>
      <c r="BX64" s="36">
        <f t="shared" si="344"/>
        <v>25</v>
      </c>
      <c r="BY64" s="36">
        <f t="shared" si="218"/>
        <v>999</v>
      </c>
      <c r="DV64" s="36" t="str">
        <f>DT52</f>
        <v/>
      </c>
      <c r="FZ64" s="36" t="str">
        <f>FX52</f>
        <v/>
      </c>
      <c r="GA64" s="152"/>
      <c r="HA64" s="153"/>
      <c r="HB64" s="152"/>
      <c r="HV64" s="138"/>
      <c r="IH64" s="149"/>
      <c r="II64" s="138"/>
      <c r="IP64" s="36" t="str">
        <f>IN52</f>
        <v/>
      </c>
      <c r="IQ64" s="152"/>
      <c r="JJ64" s="149"/>
      <c r="JX64" s="149"/>
      <c r="JY64" s="138"/>
      <c r="KF64" s="153" t="str">
        <f>KD52</f>
        <v/>
      </c>
      <c r="KG64" s="152"/>
      <c r="LA64" s="149"/>
      <c r="LO64" s="149"/>
      <c r="LP64" s="138"/>
      <c r="LW64" s="153" t="str">
        <f>LU52</f>
        <v/>
      </c>
      <c r="LX64" s="152"/>
    </row>
    <row r="65" spans="1:336" ht="14.25" hidden="1" customHeight="1" thickBot="1" x14ac:dyDescent="0.3">
      <c r="A65" s="375"/>
      <c r="B65" s="374"/>
      <c r="C65" s="363"/>
      <c r="D65" s="362"/>
      <c r="E65" s="346"/>
      <c r="F65" s="29"/>
      <c r="G65" s="30"/>
      <c r="H65" s="346"/>
      <c r="I65" s="29"/>
      <c r="J65" s="30"/>
      <c r="K65" s="334"/>
      <c r="L65" s="29"/>
      <c r="M65" s="30"/>
      <c r="N65" s="334"/>
      <c r="O65" s="29"/>
      <c r="P65" s="30"/>
      <c r="Q65" s="334"/>
      <c r="R65" s="29"/>
      <c r="S65" s="30"/>
      <c r="T65" s="334"/>
      <c r="U65" s="29"/>
      <c r="V65" s="30"/>
      <c r="W65" s="337"/>
      <c r="X65" s="29"/>
      <c r="Y65" s="30"/>
      <c r="Z65" s="338"/>
      <c r="AA65" s="335"/>
      <c r="AB65" s="336"/>
      <c r="AC65" s="355"/>
      <c r="AD65" s="327"/>
      <c r="AE65" s="328"/>
      <c r="AG65" s="273">
        <v>5</v>
      </c>
      <c r="AH65" s="273"/>
      <c r="AI65" s="273" t="str">
        <f t="shared" si="367"/>
        <v/>
      </c>
      <c r="AJ65" s="273" t="str">
        <f t="shared" si="367"/>
        <v/>
      </c>
      <c r="AK65" s="273"/>
      <c r="AL65" s="273"/>
      <c r="AM65" s="273"/>
      <c r="AN65" s="273" t="str">
        <f t="shared" si="368"/>
        <v/>
      </c>
      <c r="AO65" s="273" t="str">
        <f t="shared" si="368"/>
        <v/>
      </c>
      <c r="AP65" s="273"/>
      <c r="AQ65" s="273"/>
      <c r="AR65" s="273"/>
      <c r="AS65" s="273" t="str">
        <f t="shared" si="369"/>
        <v/>
      </c>
      <c r="AT65" s="273" t="str">
        <f t="shared" si="369"/>
        <v/>
      </c>
      <c r="AU65" s="273"/>
      <c r="AV65" s="273"/>
      <c r="AW65" s="273"/>
      <c r="AX65" s="273" t="str">
        <f t="shared" si="370"/>
        <v/>
      </c>
      <c r="AY65" s="273" t="str">
        <f t="shared" si="370"/>
        <v/>
      </c>
      <c r="AZ65" s="273"/>
      <c r="BA65" s="273"/>
      <c r="BB65" s="273"/>
      <c r="BC65" s="273" t="str">
        <f t="shared" si="371"/>
        <v/>
      </c>
      <c r="BD65" s="273" t="str">
        <f t="shared" si="371"/>
        <v/>
      </c>
      <c r="BH65" s="36" t="str">
        <f>IF(E65=$BQ$2,"",(IF(A65="","",(IF(F65="","",(IF(F65&lt;2,1,0)))))))</f>
        <v/>
      </c>
      <c r="BI65" s="36" t="str">
        <f>IF(H65=$BQ$2,"",(IF(A65="","",(IF(I65="","",(IF(I65&lt;2,1,0)))))))</f>
        <v/>
      </c>
      <c r="BJ65" s="36" t="str">
        <f>IF(K65=$BQ$2,"",(IF(A65="","",(IF(L65="","",(IF(L65&lt;2,1,0)))))))</f>
        <v/>
      </c>
      <c r="BK65" s="36" t="str">
        <f>IF(W65=$BQ$2,"",(IF(A65="","",(IF(X65="","",(IF(X65&lt;2,1,0)))))))</f>
        <v/>
      </c>
      <c r="BP65" s="36" t="str">
        <f>IF(BH65="","",(SUM(BH65:BK65)))</f>
        <v/>
      </c>
      <c r="BV65" s="36">
        <f t="shared" si="191"/>
        <v>999</v>
      </c>
      <c r="BW65" s="36">
        <f t="shared" si="192"/>
        <v>999</v>
      </c>
      <c r="BX65" s="36">
        <f t="shared" si="344"/>
        <v>26</v>
      </c>
      <c r="BY65" s="36">
        <f t="shared" si="218"/>
        <v>999</v>
      </c>
      <c r="GA65" s="152"/>
      <c r="HA65" s="153"/>
      <c r="HB65" s="152"/>
      <c r="HV65" s="138"/>
      <c r="IH65" s="149"/>
      <c r="II65" s="138"/>
      <c r="IQ65" s="152"/>
      <c r="JJ65" s="149"/>
      <c r="JX65" s="149"/>
      <c r="JY65" s="138"/>
      <c r="KF65" s="153"/>
      <c r="KG65" s="152"/>
      <c r="LA65" s="149"/>
      <c r="LO65" s="149"/>
      <c r="LP65" s="138"/>
      <c r="LW65" s="153"/>
      <c r="LX65" s="152"/>
    </row>
    <row r="66" spans="1:336" ht="14.25" hidden="1" customHeight="1" thickBot="1" x14ac:dyDescent="0.3">
      <c r="A66" s="375" t="str">
        <f>'Vážní listina'!HQ65</f>
        <v/>
      </c>
      <c r="B66" s="374" t="str">
        <f>'Vážní listina'!HR65</f>
        <v/>
      </c>
      <c r="C66" s="363" t="str">
        <f>IF(BP66="","",(IF(BP66&gt;1,$BH$2,"")))</f>
        <v/>
      </c>
      <c r="D66" s="361" t="str">
        <f>'Vážní listina'!HK65</f>
        <v/>
      </c>
      <c r="E66" s="343" t="str">
        <f>'Vážní listina'!HL65</f>
        <v/>
      </c>
      <c r="F66" s="26"/>
      <c r="G66" s="33"/>
      <c r="H66" s="334" t="str">
        <f>IF(H5="","",'Vážní listina'!HM65)</f>
        <v/>
      </c>
      <c r="I66" s="26"/>
      <c r="J66" s="33"/>
      <c r="K66" s="334" t="str">
        <f>IF(K5="","",DV66)</f>
        <v/>
      </c>
      <c r="L66" s="26"/>
      <c r="M66" s="33"/>
      <c r="N66" s="334" t="str">
        <f>IF(N5="","",FZ66)</f>
        <v/>
      </c>
      <c r="O66" s="26"/>
      <c r="P66" s="33"/>
      <c r="Q66" s="334" t="str">
        <f>IF(Q5="","",IP66)</f>
        <v/>
      </c>
      <c r="R66" s="26"/>
      <c r="S66" s="33"/>
      <c r="T66" s="334" t="str">
        <f>IF(T5="","",KF66)</f>
        <v/>
      </c>
      <c r="U66" s="26"/>
      <c r="V66" s="33"/>
      <c r="W66" s="337" t="str">
        <f>IF(W5="","",LW66)</f>
        <v/>
      </c>
      <c r="X66" s="26"/>
      <c r="Y66" s="33"/>
      <c r="Z66" s="338" t="str">
        <f>IF(A66="","",(F66+I66+L66+O66+R66+U66+X66))</f>
        <v/>
      </c>
      <c r="AA66" s="335" t="str">
        <f>IF(A66="","",(F67+I67+L67+O67+R67+U67+X67))</f>
        <v/>
      </c>
      <c r="AB66" s="336" t="str">
        <f>IF(A66="","",(G66+J66+M66+P66+S66+V66+Y66))</f>
        <v/>
      </c>
      <c r="AC66" s="355" t="str">
        <f>HF138</f>
        <v/>
      </c>
      <c r="AD66" s="328"/>
      <c r="AE66" s="328" t="str">
        <f>IF(D66="","",(IF('Tabulka finále'!$BK$47=1,(IF('Tabulka finále'!$K$56="","",(IF($AC$5="","",(IF($H$5="","",(FW176))))))),"")))</f>
        <v/>
      </c>
      <c r="AG66" s="273">
        <v>6</v>
      </c>
      <c r="AH66" s="273"/>
      <c r="AI66" s="273" t="str">
        <f t="shared" si="367"/>
        <v/>
      </c>
      <c r="AJ66" s="273" t="str">
        <f t="shared" si="367"/>
        <v/>
      </c>
      <c r="AK66" s="273"/>
      <c r="AL66" s="273"/>
      <c r="AM66" s="273"/>
      <c r="AN66" s="273" t="str">
        <f t="shared" si="368"/>
        <v/>
      </c>
      <c r="AO66" s="273" t="str">
        <f t="shared" si="368"/>
        <v/>
      </c>
      <c r="AP66" s="273"/>
      <c r="AQ66" s="273"/>
      <c r="AR66" s="273"/>
      <c r="AS66" s="273" t="str">
        <f t="shared" si="369"/>
        <v/>
      </c>
      <c r="AT66" s="273" t="str">
        <f t="shared" si="369"/>
        <v/>
      </c>
      <c r="AU66" s="273"/>
      <c r="AV66" s="273"/>
      <c r="AW66" s="273"/>
      <c r="AX66" s="273" t="str">
        <f t="shared" si="370"/>
        <v/>
      </c>
      <c r="AY66" s="273" t="str">
        <f t="shared" si="370"/>
        <v/>
      </c>
      <c r="AZ66" s="273"/>
      <c r="BA66" s="273"/>
      <c r="BB66" s="273"/>
      <c r="BC66" s="273" t="str">
        <f t="shared" si="371"/>
        <v/>
      </c>
      <c r="BD66" s="273" t="str">
        <f t="shared" si="371"/>
        <v/>
      </c>
      <c r="BG66" s="36">
        <f>IF(A66="",0,1)</f>
        <v>0</v>
      </c>
      <c r="BH66" s="36" t="str">
        <f>(IF(F66="","",(IF(F66&lt;2,1,0))))</f>
        <v/>
      </c>
      <c r="BI66" s="36" t="str">
        <f>(IF(I66="","",(IF(I66&lt;2,1,0))))</f>
        <v/>
      </c>
      <c r="BJ66" s="36" t="str">
        <f>(IF(L66="","",(IF(L66&lt;2,1,0))))</f>
        <v/>
      </c>
      <c r="BK66" s="36" t="str">
        <f>(IF(O66="","",(IF(O66&lt;2,1,0))))</f>
        <v/>
      </c>
      <c r="BL66" s="36" t="str">
        <f>IF(R66="","",(IF(R66&lt;2,1,0)))</f>
        <v/>
      </c>
      <c r="BM66" s="36" t="str">
        <f>IF(U66="","",(IF(U66&lt;2,1,0)))</f>
        <v/>
      </c>
      <c r="BN66" s="36" t="str">
        <f>IF(X66="","",(IF(X66&lt;2,1,0)))</f>
        <v/>
      </c>
      <c r="BP66" s="36" t="str">
        <f>IF(BG66=0,"",(SUM(BH66:BN66)))</f>
        <v/>
      </c>
      <c r="BV66" s="36">
        <f t="shared" si="191"/>
        <v>999</v>
      </c>
      <c r="BW66" s="36">
        <f t="shared" si="192"/>
        <v>999</v>
      </c>
      <c r="BX66" s="36">
        <f t="shared" si="344"/>
        <v>27</v>
      </c>
      <c r="BY66" s="36">
        <f t="shared" si="218"/>
        <v>999</v>
      </c>
      <c r="DV66" s="36" t="str">
        <f>DT53</f>
        <v/>
      </c>
      <c r="FZ66" s="36" t="str">
        <f>FX53</f>
        <v/>
      </c>
      <c r="GA66" s="152"/>
      <c r="HA66" s="153"/>
      <c r="HB66" s="152"/>
      <c r="HV66" s="138"/>
      <c r="IH66" s="149"/>
      <c r="II66" s="138"/>
      <c r="IP66" s="36" t="str">
        <f>IN53</f>
        <v/>
      </c>
      <c r="IQ66" s="152"/>
      <c r="JJ66" s="149"/>
      <c r="JX66" s="149"/>
      <c r="JY66" s="138"/>
      <c r="KF66" s="153" t="str">
        <f>KD53</f>
        <v/>
      </c>
      <c r="KG66" s="152"/>
      <c r="LA66" s="149"/>
      <c r="LO66" s="149"/>
      <c r="LP66" s="138"/>
      <c r="LW66" s="153" t="str">
        <f>LU53</f>
        <v/>
      </c>
      <c r="LX66" s="152"/>
    </row>
    <row r="67" spans="1:336" ht="14.25" hidden="1" customHeight="1" thickBot="1" x14ac:dyDescent="0.3">
      <c r="A67" s="375"/>
      <c r="B67" s="374"/>
      <c r="C67" s="363"/>
      <c r="D67" s="362"/>
      <c r="E67" s="346"/>
      <c r="F67" s="29"/>
      <c r="G67" s="30"/>
      <c r="H67" s="334"/>
      <c r="I67" s="29"/>
      <c r="J67" s="30"/>
      <c r="K67" s="334"/>
      <c r="L67" s="29"/>
      <c r="M67" s="30"/>
      <c r="N67" s="334"/>
      <c r="O67" s="29"/>
      <c r="P67" s="30"/>
      <c r="Q67" s="334"/>
      <c r="R67" s="29"/>
      <c r="S67" s="30"/>
      <c r="T67" s="334"/>
      <c r="U67" s="29"/>
      <c r="V67" s="30"/>
      <c r="W67" s="337"/>
      <c r="X67" s="29"/>
      <c r="Y67" s="30"/>
      <c r="Z67" s="338"/>
      <c r="AA67" s="335"/>
      <c r="AB67" s="336"/>
      <c r="AC67" s="355"/>
      <c r="AD67" s="328"/>
      <c r="AE67" s="328"/>
      <c r="AG67" s="273">
        <v>7</v>
      </c>
      <c r="AH67" s="273"/>
      <c r="AI67" s="273" t="str">
        <f t="shared" si="367"/>
        <v/>
      </c>
      <c r="AJ67" s="273" t="str">
        <f t="shared" si="367"/>
        <v/>
      </c>
      <c r="AK67" s="273"/>
      <c r="AL67" s="273"/>
      <c r="AM67" s="273"/>
      <c r="AN67" s="273" t="str">
        <f t="shared" si="368"/>
        <v/>
      </c>
      <c r="AO67" s="273" t="str">
        <f t="shared" si="368"/>
        <v/>
      </c>
      <c r="AP67" s="273"/>
      <c r="AQ67" s="273"/>
      <c r="AR67" s="273"/>
      <c r="AS67" s="273" t="str">
        <f t="shared" si="369"/>
        <v/>
      </c>
      <c r="AT67" s="273" t="str">
        <f t="shared" si="369"/>
        <v/>
      </c>
      <c r="AU67" s="273"/>
      <c r="AV67" s="273"/>
      <c r="AW67" s="273"/>
      <c r="AX67" s="273" t="str">
        <f t="shared" si="370"/>
        <v/>
      </c>
      <c r="AY67" s="273" t="str">
        <f t="shared" si="370"/>
        <v/>
      </c>
      <c r="AZ67" s="273"/>
      <c r="BA67" s="273"/>
      <c r="BB67" s="273"/>
      <c r="BC67" s="273" t="str">
        <f t="shared" si="371"/>
        <v/>
      </c>
      <c r="BD67" s="273" t="str">
        <f t="shared" si="371"/>
        <v/>
      </c>
      <c r="BH67" s="36" t="str">
        <f>IF(E67=$BQ$2,"",(IF(A67="","",(IF(F67="","",(IF(F67&lt;2,1,0)))))))</f>
        <v/>
      </c>
      <c r="BI67" s="36" t="str">
        <f>IF(H67=$BQ$2,"",(IF(A67="","",(IF(I67="","",(IF(I67&lt;2,1,0)))))))</f>
        <v/>
      </c>
      <c r="BJ67" s="36" t="str">
        <f>IF(K67=$BQ$2,"",(IF(A67="","",(IF(L67="","",(IF(L67&lt;2,1,0)))))))</f>
        <v/>
      </c>
      <c r="BK67" s="36" t="str">
        <f>IF(W67=$BQ$2,"",(IF(A67="","",(IF(X67="","",(IF(X67&lt;2,1,0)))))))</f>
        <v/>
      </c>
      <c r="BP67" s="36" t="str">
        <f>IF(BH67="","",(SUM(BH67:BK67)))</f>
        <v/>
      </c>
      <c r="BV67" s="36">
        <f t="shared" si="191"/>
        <v>999</v>
      </c>
      <c r="BW67" s="36">
        <f t="shared" si="192"/>
        <v>999</v>
      </c>
      <c r="BX67" s="36">
        <f t="shared" si="344"/>
        <v>28</v>
      </c>
      <c r="BY67" s="36">
        <f t="shared" si="218"/>
        <v>999</v>
      </c>
      <c r="GA67" s="152"/>
      <c r="HA67" s="153"/>
      <c r="HB67" s="152"/>
      <c r="HV67" s="138"/>
      <c r="IH67" s="149"/>
      <c r="II67" s="138"/>
      <c r="IQ67" s="152"/>
      <c r="JJ67" s="149"/>
      <c r="JX67" s="149"/>
      <c r="JY67" s="138"/>
      <c r="KF67" s="153"/>
      <c r="KG67" s="152"/>
      <c r="LA67" s="149"/>
      <c r="LO67" s="149"/>
      <c r="LP67" s="138"/>
      <c r="LW67" s="153"/>
      <c r="LX67" s="152"/>
    </row>
    <row r="68" spans="1:336" ht="14.25" customHeight="1" thickBot="1" x14ac:dyDescent="0.3">
      <c r="A68" s="375" t="str">
        <f>'Vážní listina'!HQ67</f>
        <v/>
      </c>
      <c r="B68" s="374" t="str">
        <f>'Vážní listina'!HR67</f>
        <v/>
      </c>
      <c r="C68" s="363" t="str">
        <f>IF(BP68="","",(IF(BP68&gt;1,$BH$2,"")))</f>
        <v/>
      </c>
      <c r="D68" s="361" t="str">
        <f>'Vážní listina'!HK67</f>
        <v/>
      </c>
      <c r="E68" s="343" t="str">
        <f>'Vážní listina'!HL67</f>
        <v/>
      </c>
      <c r="F68" s="26"/>
      <c r="G68" s="33"/>
      <c r="H68" s="343" t="str">
        <f>IF(H5="","",'Vážní listina'!HM67)</f>
        <v/>
      </c>
      <c r="I68" s="26"/>
      <c r="J68" s="33"/>
      <c r="K68" s="334" t="str">
        <f>IF(K5="","",DV68)</f>
        <v/>
      </c>
      <c r="L68" s="26"/>
      <c r="M68" s="33"/>
      <c r="N68" s="334" t="str">
        <f>IF(N5="","",FZ68)</f>
        <v/>
      </c>
      <c r="O68" s="26"/>
      <c r="P68" s="33"/>
      <c r="Q68" s="334" t="str">
        <f>IF(Q5="","",IP68)</f>
        <v/>
      </c>
      <c r="R68" s="26"/>
      <c r="S68" s="33"/>
      <c r="T68" s="334" t="str">
        <f>IF(T5="","",KF68)</f>
        <v/>
      </c>
      <c r="U68" s="26"/>
      <c r="V68" s="33"/>
      <c r="W68" s="337" t="str">
        <f>IF(W5="","",LW68)</f>
        <v/>
      </c>
      <c r="X68" s="26"/>
      <c r="Y68" s="33"/>
      <c r="Z68" s="338" t="str">
        <f>IF(A68="","",(F68+I68+L68+O68+R68+U68+X68))</f>
        <v/>
      </c>
      <c r="AA68" s="335" t="str">
        <f>IF(A68="","",(F69+I69+L69+O69+R69+U69+X69))</f>
        <v/>
      </c>
      <c r="AB68" s="336" t="str">
        <f>IF(A68="","",(G68+J68+M68+P68+S68+V68+Y68))</f>
        <v/>
      </c>
      <c r="AC68" s="355" t="str">
        <f>HF140</f>
        <v/>
      </c>
      <c r="AD68" s="329"/>
      <c r="AE68" s="328" t="str">
        <f>IF(D68="","",(IF('Tabulka finále'!$BK$47=1,(IF('Tabulka finále'!$K$56="","",(IF($AC$5="","",(IF($H$5="","",(FW178))))))),"")))</f>
        <v/>
      </c>
      <c r="AG68" s="273">
        <v>8</v>
      </c>
      <c r="AH68" s="273"/>
      <c r="AI68" s="273" t="str">
        <f t="shared" si="367"/>
        <v/>
      </c>
      <c r="AJ68" s="273" t="str">
        <f t="shared" si="367"/>
        <v/>
      </c>
      <c r="AK68" s="273"/>
      <c r="AL68" s="273"/>
      <c r="AM68" s="273"/>
      <c r="AN68" s="273" t="str">
        <f t="shared" si="368"/>
        <v/>
      </c>
      <c r="AO68" s="273" t="str">
        <f t="shared" si="368"/>
        <v/>
      </c>
      <c r="AP68" s="273"/>
      <c r="AQ68" s="273"/>
      <c r="AR68" s="273"/>
      <c r="AS68" s="273" t="str">
        <f t="shared" si="369"/>
        <v/>
      </c>
      <c r="AT68" s="273" t="str">
        <f t="shared" si="369"/>
        <v/>
      </c>
      <c r="AU68" s="273"/>
      <c r="AV68" s="273"/>
      <c r="AW68" s="273"/>
      <c r="AX68" s="273" t="str">
        <f t="shared" si="370"/>
        <v/>
      </c>
      <c r="AY68" s="273" t="str">
        <f t="shared" si="370"/>
        <v/>
      </c>
      <c r="AZ68" s="273"/>
      <c r="BA68" s="273"/>
      <c r="BB68" s="273"/>
      <c r="BC68" s="273" t="str">
        <f t="shared" si="371"/>
        <v/>
      </c>
      <c r="BD68" s="273" t="str">
        <f t="shared" si="371"/>
        <v/>
      </c>
      <c r="BG68" s="36">
        <f>IF(A68="",0,1)</f>
        <v>0</v>
      </c>
      <c r="BH68" s="36" t="str">
        <f>(IF(F68="","",(IF(F68&lt;2,1,0))))</f>
        <v/>
      </c>
      <c r="BI68" s="36" t="str">
        <f>(IF(I68="","",(IF(I68&lt;2,1,0))))</f>
        <v/>
      </c>
      <c r="BJ68" s="36" t="str">
        <f>(IF(L68="","",(IF(L68&lt;2,1,0))))</f>
        <v/>
      </c>
      <c r="BK68" s="36" t="str">
        <f>(IF(O68="","",(IF(O68&lt;2,1,0))))</f>
        <v/>
      </c>
      <c r="BL68" s="36" t="str">
        <f>IF(R68="","",(IF(R68&lt;2,1,0)))</f>
        <v/>
      </c>
      <c r="BM68" s="36" t="str">
        <f>IF(U68="","",(IF(U68&lt;2,1,0)))</f>
        <v/>
      </c>
      <c r="BN68" s="36" t="str">
        <f>IF(X68="","",(IF(X68&lt;2,1,0)))</f>
        <v/>
      </c>
      <c r="BP68" s="36" t="str">
        <f>IF(BG68=0,"",(SUM(BH68:BN68)))</f>
        <v/>
      </c>
      <c r="BV68" s="36">
        <f t="shared" si="191"/>
        <v>999</v>
      </c>
      <c r="BW68" s="36">
        <f t="shared" si="192"/>
        <v>999</v>
      </c>
      <c r="BX68" s="36">
        <f t="shared" si="344"/>
        <v>29</v>
      </c>
      <c r="BY68" s="36">
        <f t="shared" si="218"/>
        <v>999</v>
      </c>
      <c r="DV68" s="36" t="str">
        <f>DT54</f>
        <v/>
      </c>
      <c r="FZ68" s="36" t="str">
        <f>FX54</f>
        <v/>
      </c>
      <c r="GA68" s="152"/>
      <c r="HA68" s="153"/>
      <c r="HB68" s="152"/>
      <c r="HV68" s="138"/>
      <c r="IH68" s="149"/>
      <c r="II68" s="138"/>
      <c r="IP68" s="36" t="str">
        <f>IN54</f>
        <v/>
      </c>
      <c r="IQ68" s="152"/>
      <c r="JJ68" s="149"/>
      <c r="JX68" s="149"/>
      <c r="JY68" s="138"/>
      <c r="KF68" s="153" t="str">
        <f>KD54</f>
        <v/>
      </c>
      <c r="KG68" s="152"/>
      <c r="LA68" s="149"/>
      <c r="LO68" s="149"/>
      <c r="LP68" s="138"/>
      <c r="LW68" s="153" t="str">
        <f>LU54</f>
        <v/>
      </c>
      <c r="LX68" s="152"/>
    </row>
    <row r="69" spans="1:336" ht="14.25" customHeight="1" thickBot="1" x14ac:dyDescent="0.3">
      <c r="A69" s="375"/>
      <c r="B69" s="374"/>
      <c r="C69" s="363"/>
      <c r="D69" s="362"/>
      <c r="E69" s="346"/>
      <c r="F69" s="29"/>
      <c r="G69" s="30"/>
      <c r="H69" s="346"/>
      <c r="I69" s="29"/>
      <c r="J69" s="30"/>
      <c r="K69" s="334"/>
      <c r="L69" s="29"/>
      <c r="M69" s="30"/>
      <c r="N69" s="334"/>
      <c r="O69" s="29"/>
      <c r="P69" s="30"/>
      <c r="Q69" s="334"/>
      <c r="R69" s="29"/>
      <c r="S69" s="30"/>
      <c r="T69" s="334"/>
      <c r="U69" s="29"/>
      <c r="V69" s="30"/>
      <c r="W69" s="337"/>
      <c r="X69" s="29"/>
      <c r="Y69" s="30"/>
      <c r="Z69" s="338"/>
      <c r="AA69" s="335"/>
      <c r="AB69" s="336"/>
      <c r="AC69" s="355"/>
      <c r="AD69" s="327"/>
      <c r="AE69" s="328"/>
      <c r="AG69" s="273">
        <v>9</v>
      </c>
      <c r="AH69" s="273"/>
      <c r="AI69" s="273" t="str">
        <f t="shared" si="367"/>
        <v/>
      </c>
      <c r="AJ69" s="273" t="str">
        <f t="shared" si="367"/>
        <v/>
      </c>
      <c r="AK69" s="273"/>
      <c r="AL69" s="273"/>
      <c r="AM69" s="273"/>
      <c r="AN69" s="273" t="str">
        <f t="shared" si="368"/>
        <v/>
      </c>
      <c r="AO69" s="273" t="str">
        <f t="shared" si="368"/>
        <v/>
      </c>
      <c r="AP69" s="273"/>
      <c r="AQ69" s="273"/>
      <c r="AR69" s="273"/>
      <c r="AS69" s="273" t="str">
        <f t="shared" si="369"/>
        <v/>
      </c>
      <c r="AT69" s="273" t="str">
        <f t="shared" si="369"/>
        <v/>
      </c>
      <c r="AU69" s="273"/>
      <c r="AV69" s="273"/>
      <c r="AW69" s="273"/>
      <c r="AX69" s="273" t="str">
        <f t="shared" si="370"/>
        <v/>
      </c>
      <c r="AY69" s="273" t="str">
        <f t="shared" si="370"/>
        <v/>
      </c>
      <c r="AZ69" s="273"/>
      <c r="BA69" s="273"/>
      <c r="BB69" s="273"/>
      <c r="BC69" s="273" t="str">
        <f t="shared" si="371"/>
        <v/>
      </c>
      <c r="BD69" s="273" t="str">
        <f t="shared" si="371"/>
        <v/>
      </c>
      <c r="BH69" s="36" t="str">
        <f>IF(E69=$BQ$2,"",(IF(A69="","",(IF(F69="","",(IF(F69&lt;2,1,0)))))))</f>
        <v/>
      </c>
      <c r="BI69" s="36" t="str">
        <f>IF(H69=$BQ$2,"",(IF(A69="","",(IF(I69="","",(IF(I69&lt;2,1,0)))))))</f>
        <v/>
      </c>
      <c r="BJ69" s="36" t="str">
        <f>IF(K69=$BQ$2,"",(IF(A69="","",(IF(L69="","",(IF(L69&lt;2,1,0)))))))</f>
        <v/>
      </c>
      <c r="BK69" s="36" t="str">
        <f>IF(W69=$BQ$2,"",(IF(A69="","",(IF(X69="","",(IF(X69&lt;2,1,0)))))))</f>
        <v/>
      </c>
      <c r="BP69" s="36" t="str">
        <f>IF(BH69="","",(SUM(BH69:BK69)))</f>
        <v/>
      </c>
      <c r="BV69" s="36">
        <f t="shared" si="191"/>
        <v>999</v>
      </c>
      <c r="BW69" s="36">
        <f t="shared" si="192"/>
        <v>999</v>
      </c>
      <c r="BX69" s="36">
        <f t="shared" si="344"/>
        <v>30</v>
      </c>
      <c r="BY69" s="36">
        <f t="shared" si="218"/>
        <v>999</v>
      </c>
      <c r="GA69" s="152"/>
      <c r="HA69" s="153"/>
      <c r="HB69" s="152"/>
      <c r="HV69" s="138"/>
      <c r="IH69" s="149"/>
      <c r="II69" s="138"/>
      <c r="IQ69" s="152"/>
      <c r="JJ69" s="149"/>
      <c r="JX69" s="149"/>
      <c r="JY69" s="138"/>
      <c r="KF69" s="153"/>
      <c r="KG69" s="152"/>
      <c r="LA69" s="149"/>
      <c r="LO69" s="149"/>
      <c r="LP69" s="138"/>
      <c r="LW69" s="153"/>
      <c r="LX69" s="152"/>
    </row>
    <row r="70" spans="1:336" ht="14.25" customHeight="1" thickBot="1" x14ac:dyDescent="0.3">
      <c r="A70" s="375" t="str">
        <f>'Vážní listina'!HQ69</f>
        <v/>
      </c>
      <c r="B70" s="374" t="str">
        <f>'Vážní listina'!HR69</f>
        <v/>
      </c>
      <c r="C70" s="363" t="str">
        <f>IF(BP70="","",(IF(BP70&gt;1,$BH$2,"")))</f>
        <v/>
      </c>
      <c r="D70" s="361" t="str">
        <f>'Vážní listina'!HK69</f>
        <v/>
      </c>
      <c r="E70" s="343" t="str">
        <f>'Vážní listina'!HL69</f>
        <v/>
      </c>
      <c r="F70" s="31"/>
      <c r="G70" s="32"/>
      <c r="H70" s="343" t="str">
        <f>IF(H5="","",'Vážní listina'!HM69)</f>
        <v/>
      </c>
      <c r="I70" s="31"/>
      <c r="J70" s="32"/>
      <c r="K70" s="343" t="str">
        <f>IF(K5="","",DV70)</f>
        <v/>
      </c>
      <c r="L70" s="31"/>
      <c r="M70" s="32"/>
      <c r="N70" s="334" t="str">
        <f>IF(N5="","",FZ70)</f>
        <v/>
      </c>
      <c r="O70" s="31"/>
      <c r="P70" s="32"/>
      <c r="Q70" s="343" t="str">
        <f>IF(Q5="","",IP70)</f>
        <v/>
      </c>
      <c r="R70" s="31"/>
      <c r="S70" s="32"/>
      <c r="T70" s="343" t="str">
        <f>IF(T5="","",KF70)</f>
        <v/>
      </c>
      <c r="U70" s="31"/>
      <c r="V70" s="32"/>
      <c r="W70" s="337" t="str">
        <f>IF(W5="","",LW70)</f>
        <v/>
      </c>
      <c r="X70" s="31"/>
      <c r="Y70" s="32"/>
      <c r="Z70" s="338" t="str">
        <f>IF(A70="","",(F70+I70+L70+O70+R70+U70+X70))</f>
        <v/>
      </c>
      <c r="AA70" s="335" t="str">
        <f>IF(A70="","",(F71+I71+L71+O71+R71+U71+X71))</f>
        <v/>
      </c>
      <c r="AB70" s="336" t="str">
        <f>IF(A70="","",(G70+J70+M70+P70+S70+V70+Y70))</f>
        <v/>
      </c>
      <c r="AC70" s="355" t="str">
        <f>HF142</f>
        <v/>
      </c>
      <c r="AD70" s="329"/>
      <c r="AE70" s="328" t="str">
        <f>IF(D70="","",(IF('Tabulka finále'!$BK$47=1,(IF('Tabulka finále'!$K$56="","",(IF($AC$5="","",(IF($H$5="","",(FW180))))))),"")))</f>
        <v/>
      </c>
      <c r="AG70" s="273">
        <v>10</v>
      </c>
      <c r="AH70" s="273"/>
      <c r="AI70" s="273" t="str">
        <f t="shared" si="367"/>
        <v/>
      </c>
      <c r="AJ70" s="273" t="str">
        <f t="shared" si="367"/>
        <v/>
      </c>
      <c r="AK70" s="273"/>
      <c r="AL70" s="273"/>
      <c r="AM70" s="273"/>
      <c r="AN70" s="273" t="str">
        <f t="shared" si="368"/>
        <v/>
      </c>
      <c r="AO70" s="273" t="str">
        <f t="shared" si="368"/>
        <v/>
      </c>
      <c r="AP70" s="273"/>
      <c r="AQ70" s="273"/>
      <c r="AR70" s="273"/>
      <c r="AS70" s="273" t="str">
        <f t="shared" si="369"/>
        <v/>
      </c>
      <c r="AT70" s="273" t="str">
        <f t="shared" si="369"/>
        <v/>
      </c>
      <c r="AU70" s="273"/>
      <c r="AV70" s="273"/>
      <c r="AW70" s="273"/>
      <c r="AX70" s="273" t="str">
        <f t="shared" si="370"/>
        <v/>
      </c>
      <c r="AY70" s="273" t="str">
        <f t="shared" si="370"/>
        <v/>
      </c>
      <c r="AZ70" s="273"/>
      <c r="BA70" s="273"/>
      <c r="BB70" s="273"/>
      <c r="BC70" s="273" t="str">
        <f t="shared" si="371"/>
        <v/>
      </c>
      <c r="BD70" s="273" t="str">
        <f t="shared" si="371"/>
        <v/>
      </c>
      <c r="BG70" s="36">
        <f>IF(A70="",0,1)</f>
        <v>0</v>
      </c>
      <c r="BH70" s="36" t="str">
        <f>(IF(F70="","",(IF(F70&lt;2,1,0))))</f>
        <v/>
      </c>
      <c r="BI70" s="36" t="str">
        <f>(IF(I70="","",(IF(I70&lt;2,1,0))))</f>
        <v/>
      </c>
      <c r="BJ70" s="36" t="str">
        <f>(IF(L70="","",(IF(L70&lt;2,1,0))))</f>
        <v/>
      </c>
      <c r="BK70" s="36" t="str">
        <f>(IF(O70="","",(IF(O70&lt;2,1,0))))</f>
        <v/>
      </c>
      <c r="BL70" s="36" t="str">
        <f>IF(R70="","",(IF(R70&lt;2,1,0)))</f>
        <v/>
      </c>
      <c r="BM70" s="36" t="str">
        <f>IF(U70="","",(IF(U70&lt;2,1,0)))</f>
        <v/>
      </c>
      <c r="BN70" s="36" t="str">
        <f>IF(X70="","",(IF(X70&lt;2,1,0)))</f>
        <v/>
      </c>
      <c r="BP70" s="36" t="str">
        <f>IF(BG70=0,"",(SUM(BH70:BN70)))</f>
        <v/>
      </c>
      <c r="BV70" s="36">
        <f t="shared" si="191"/>
        <v>999</v>
      </c>
      <c r="BW70" s="36">
        <f t="shared" si="192"/>
        <v>999</v>
      </c>
      <c r="BX70" s="36">
        <f t="shared" si="344"/>
        <v>31</v>
      </c>
      <c r="BY70" s="36">
        <f t="shared" si="218"/>
        <v>999</v>
      </c>
      <c r="DV70" s="36" t="str">
        <f>DT55</f>
        <v/>
      </c>
      <c r="FZ70" s="36" t="str">
        <f>FX55</f>
        <v/>
      </c>
      <c r="GA70" s="152"/>
      <c r="HA70" s="153"/>
      <c r="HB70" s="152"/>
      <c r="HV70" s="138"/>
      <c r="IH70" s="149"/>
      <c r="II70" s="138"/>
      <c r="IP70" s="36" t="str">
        <f>IN55</f>
        <v/>
      </c>
      <c r="IQ70" s="152"/>
      <c r="JJ70" s="149"/>
      <c r="JX70" s="149"/>
      <c r="JY70" s="138"/>
      <c r="KF70" s="153" t="str">
        <f>KD55</f>
        <v/>
      </c>
      <c r="KG70" s="152"/>
      <c r="LA70" s="149"/>
      <c r="LO70" s="149"/>
      <c r="LP70" s="138"/>
      <c r="LW70" s="153" t="str">
        <f>LU55</f>
        <v/>
      </c>
      <c r="LX70" s="152"/>
    </row>
    <row r="71" spans="1:336" ht="14.25" customHeight="1" thickBot="1" x14ac:dyDescent="0.3">
      <c r="A71" s="380"/>
      <c r="B71" s="381"/>
      <c r="C71" s="377"/>
      <c r="D71" s="382"/>
      <c r="E71" s="344"/>
      <c r="F71" s="34"/>
      <c r="G71" s="35"/>
      <c r="H71" s="344"/>
      <c r="I71" s="34"/>
      <c r="J71" s="35"/>
      <c r="K71" s="344"/>
      <c r="L71" s="34"/>
      <c r="M71" s="35"/>
      <c r="N71" s="334"/>
      <c r="O71" s="34"/>
      <c r="P71" s="35"/>
      <c r="Q71" s="344"/>
      <c r="R71" s="34"/>
      <c r="S71" s="35"/>
      <c r="T71" s="344"/>
      <c r="U71" s="34"/>
      <c r="V71" s="35"/>
      <c r="W71" s="339"/>
      <c r="X71" s="34"/>
      <c r="Y71" s="35"/>
      <c r="Z71" s="338"/>
      <c r="AA71" s="335"/>
      <c r="AB71" s="336"/>
      <c r="AC71" s="384"/>
      <c r="AD71" s="333"/>
      <c r="AE71" s="328"/>
      <c r="AG71" s="273">
        <v>11</v>
      </c>
      <c r="AH71" s="273"/>
      <c r="AI71" s="273" t="str">
        <f t="shared" si="367"/>
        <v/>
      </c>
      <c r="AJ71" s="273" t="str">
        <f t="shared" si="367"/>
        <v/>
      </c>
      <c r="AK71" s="273"/>
      <c r="AL71" s="273"/>
      <c r="AM71" s="273"/>
      <c r="AN71" s="273" t="str">
        <f t="shared" si="368"/>
        <v/>
      </c>
      <c r="AO71" s="273" t="str">
        <f t="shared" si="368"/>
        <v/>
      </c>
      <c r="AP71" s="273"/>
      <c r="AQ71" s="273"/>
      <c r="AR71" s="273"/>
      <c r="AS71" s="273" t="str">
        <f t="shared" si="369"/>
        <v/>
      </c>
      <c r="AT71" s="273" t="str">
        <f t="shared" si="369"/>
        <v/>
      </c>
      <c r="AU71" s="273"/>
      <c r="AV71" s="273"/>
      <c r="AW71" s="273"/>
      <c r="AX71" s="273" t="str">
        <f t="shared" si="370"/>
        <v/>
      </c>
      <c r="AY71" s="273" t="str">
        <f t="shared" si="370"/>
        <v/>
      </c>
      <c r="AZ71" s="273"/>
      <c r="BA71" s="273"/>
      <c r="BB71" s="273"/>
      <c r="BC71" s="273" t="str">
        <f t="shared" si="371"/>
        <v/>
      </c>
      <c r="BD71" s="273" t="str">
        <f t="shared" si="371"/>
        <v/>
      </c>
      <c r="BH71" s="36" t="str">
        <f>IF(E71=$BQ$2,"",(IF(A71="","",(IF(F71="","",(IF(F71&lt;2,1,0)))))))</f>
        <v/>
      </c>
      <c r="BI71" s="36" t="str">
        <f>IF(H71=$BQ$2,"",(IF(A71="","",(IF(I71="","",(IF(I71&lt;2,1,0)))))))</f>
        <v/>
      </c>
      <c r="BJ71" s="36" t="str">
        <f>IF(K71=$BQ$2,"",(IF(A71="","",(IF(L71="","",(IF(L71&lt;2,1,0)))))))</f>
        <v/>
      </c>
      <c r="BK71" s="36" t="str">
        <f>IF(W71=$BQ$2,"",(IF(A71="","",(IF(X71="","",(IF(X71&lt;2,1,0)))))))</f>
        <v/>
      </c>
      <c r="BP71" s="36" t="str">
        <f>IF(BH71="","",(SUM(BH71:BK71)))</f>
        <v/>
      </c>
      <c r="BV71" s="36">
        <f t="shared" si="191"/>
        <v>999</v>
      </c>
      <c r="BW71" s="36">
        <f t="shared" si="192"/>
        <v>999</v>
      </c>
      <c r="BX71" s="36">
        <f t="shared" si="344"/>
        <v>32</v>
      </c>
      <c r="BY71" s="36">
        <f t="shared" si="218"/>
        <v>999</v>
      </c>
      <c r="FS71" s="83"/>
      <c r="FT71" s="83"/>
      <c r="FU71" s="83"/>
      <c r="FV71" s="83"/>
      <c r="FW71" s="83"/>
      <c r="FX71" s="83"/>
      <c r="FY71" s="83"/>
      <c r="FZ71" s="83"/>
      <c r="GA71" s="152"/>
      <c r="IQ71" s="152"/>
      <c r="JJ71" s="149"/>
      <c r="JX71" s="149"/>
      <c r="JY71" s="138"/>
      <c r="KF71" s="153"/>
      <c r="KG71" s="175"/>
      <c r="KH71" s="184"/>
      <c r="KI71" s="184"/>
      <c r="KJ71" s="83"/>
      <c r="KK71" s="83"/>
      <c r="KL71" s="83"/>
      <c r="KM71" s="83"/>
      <c r="KN71" s="83"/>
      <c r="KO71" s="83"/>
      <c r="KP71" s="83"/>
      <c r="KQ71" s="83"/>
      <c r="KR71" s="83"/>
      <c r="KS71" s="83"/>
      <c r="KT71" s="83"/>
      <c r="KU71" s="83"/>
      <c r="KV71" s="83"/>
      <c r="KW71" s="83"/>
      <c r="KX71" s="83"/>
      <c r="KY71" s="83"/>
      <c r="KZ71" s="83"/>
      <c r="LA71" s="143"/>
      <c r="LB71" s="142"/>
      <c r="LC71" s="83"/>
      <c r="LD71" s="83"/>
      <c r="LE71" s="83"/>
      <c r="LF71" s="83"/>
      <c r="LG71" s="83"/>
      <c r="LH71" s="83"/>
      <c r="LI71" s="83"/>
      <c r="LJ71" s="83"/>
      <c r="LK71" s="83"/>
      <c r="LL71" s="83"/>
      <c r="LM71" s="83"/>
      <c r="LN71" s="83"/>
      <c r="LO71" s="143"/>
      <c r="LP71" s="142"/>
      <c r="LQ71" s="83"/>
      <c r="LR71" s="83"/>
      <c r="LS71" s="83"/>
      <c r="LT71" s="83"/>
      <c r="LU71" s="83"/>
      <c r="LV71" s="83"/>
      <c r="LW71" s="181"/>
      <c r="LX71" s="152"/>
    </row>
    <row r="72" spans="1:336" ht="13.5" customHeight="1" thickTop="1" thickBot="1" x14ac:dyDescent="0.3">
      <c r="A72" s="132"/>
      <c r="B72" s="132"/>
      <c r="C72" s="132"/>
      <c r="D72" s="133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G72" s="273">
        <v>12</v>
      </c>
      <c r="AH72" s="273"/>
      <c r="AI72" s="273" t="str">
        <f t="shared" si="367"/>
        <v/>
      </c>
      <c r="AJ72" s="273" t="str">
        <f t="shared" si="367"/>
        <v/>
      </c>
      <c r="AK72" s="273"/>
      <c r="AL72" s="273"/>
      <c r="AM72" s="273"/>
      <c r="AN72" s="273" t="str">
        <f t="shared" si="368"/>
        <v/>
      </c>
      <c r="AO72" s="273" t="str">
        <f t="shared" si="368"/>
        <v/>
      </c>
      <c r="AP72" s="273"/>
      <c r="AQ72" s="273"/>
      <c r="AR72" s="273"/>
      <c r="AS72" s="273" t="str">
        <f t="shared" si="369"/>
        <v/>
      </c>
      <c r="AT72" s="273" t="str">
        <f t="shared" si="369"/>
        <v/>
      </c>
      <c r="AU72" s="273"/>
      <c r="AV72" s="273"/>
      <c r="AW72" s="273"/>
      <c r="AX72" s="273" t="str">
        <f t="shared" si="370"/>
        <v/>
      </c>
      <c r="AY72" s="273" t="str">
        <f t="shared" si="370"/>
        <v/>
      </c>
      <c r="AZ72" s="273"/>
      <c r="BA72" s="273"/>
      <c r="BB72" s="273"/>
      <c r="BC72" s="273" t="str">
        <f t="shared" si="371"/>
        <v/>
      </c>
      <c r="BD72" s="273" t="str">
        <f t="shared" si="371"/>
        <v/>
      </c>
      <c r="BV72" s="36">
        <f t="shared" si="191"/>
        <v>999</v>
      </c>
      <c r="JJ72" s="149"/>
      <c r="JX72" s="149"/>
      <c r="JY72" s="138"/>
      <c r="KF72" s="153"/>
      <c r="KG72" s="189"/>
      <c r="KH72" s="190"/>
      <c r="KI72" s="190"/>
      <c r="KJ72" s="191"/>
      <c r="KK72" s="191"/>
      <c r="KL72" s="191"/>
      <c r="KM72" s="191"/>
      <c r="KN72" s="191"/>
      <c r="KO72" s="191"/>
      <c r="KP72" s="191"/>
      <c r="KQ72" s="191"/>
      <c r="KR72" s="191"/>
      <c r="KS72" s="191"/>
      <c r="KT72" s="191"/>
      <c r="KU72" s="191"/>
      <c r="KV72" s="191"/>
      <c r="KW72" s="191"/>
      <c r="KX72" s="191"/>
      <c r="KY72" s="191"/>
      <c r="KZ72" s="191"/>
      <c r="LA72" s="171"/>
      <c r="LB72" s="170"/>
      <c r="LC72" s="191"/>
      <c r="LD72" s="191"/>
      <c r="LE72" s="191"/>
      <c r="LF72" s="191"/>
      <c r="LG72" s="191"/>
      <c r="LH72" s="191"/>
      <c r="LI72" s="191"/>
      <c r="LJ72" s="191"/>
      <c r="LK72" s="191"/>
      <c r="LL72" s="191"/>
      <c r="LM72" s="191"/>
      <c r="LN72" s="191"/>
      <c r="LO72" s="171"/>
      <c r="LP72" s="170"/>
      <c r="LQ72" s="191"/>
      <c r="LR72" s="191"/>
      <c r="LS72" s="191"/>
      <c r="LT72" s="191"/>
      <c r="LU72" s="191"/>
      <c r="LV72" s="191"/>
      <c r="LW72" s="192"/>
    </row>
    <row r="73" spans="1:336" ht="13.8" hidden="1" thickBot="1" x14ac:dyDescent="0.3">
      <c r="AG73" s="273">
        <v>13</v>
      </c>
      <c r="AH73" s="273"/>
      <c r="AI73" s="273" t="str">
        <f t="shared" si="367"/>
        <v/>
      </c>
      <c r="AJ73" s="273" t="str">
        <f t="shared" si="367"/>
        <v/>
      </c>
      <c r="AK73" s="273"/>
      <c r="AL73" s="273"/>
      <c r="AM73" s="273"/>
      <c r="AN73" s="273" t="str">
        <f t="shared" si="368"/>
        <v/>
      </c>
      <c r="AO73" s="273" t="str">
        <f t="shared" si="368"/>
        <v/>
      </c>
      <c r="AP73" s="273"/>
      <c r="AQ73" s="273"/>
      <c r="AR73" s="273"/>
      <c r="AS73" s="273" t="str">
        <f t="shared" si="369"/>
        <v/>
      </c>
      <c r="AT73" s="273" t="str">
        <f t="shared" si="369"/>
        <v/>
      </c>
      <c r="AU73" s="273"/>
      <c r="AV73" s="273"/>
      <c r="AW73" s="273"/>
      <c r="AX73" s="273" t="str">
        <f t="shared" si="370"/>
        <v/>
      </c>
      <c r="AY73" s="273" t="str">
        <f t="shared" si="370"/>
        <v/>
      </c>
      <c r="AZ73" s="273"/>
      <c r="BA73" s="273"/>
      <c r="BB73" s="273"/>
      <c r="BC73" s="273" t="str">
        <f t="shared" si="371"/>
        <v/>
      </c>
      <c r="BD73" s="273" t="str">
        <f t="shared" si="371"/>
        <v/>
      </c>
      <c r="JJ73" s="149"/>
      <c r="JX73" s="149"/>
      <c r="JY73" s="138"/>
      <c r="KF73" s="153"/>
      <c r="KG73" s="193"/>
      <c r="KH73" s="186"/>
      <c r="KI73" s="186"/>
      <c r="KJ73" s="85"/>
      <c r="KK73" s="85"/>
      <c r="KL73" s="85"/>
      <c r="KM73" s="85"/>
      <c r="KN73" s="85"/>
      <c r="KO73" s="85"/>
      <c r="KP73" s="85"/>
      <c r="KQ73" s="85"/>
      <c r="KR73" s="85"/>
      <c r="KS73" s="85"/>
      <c r="KT73" s="85"/>
      <c r="KU73" s="85"/>
      <c r="KV73" s="85"/>
      <c r="KW73" s="85"/>
      <c r="KX73" s="85"/>
      <c r="KY73" s="85"/>
      <c r="KZ73" s="85"/>
      <c r="LA73" s="85"/>
      <c r="LB73" s="85"/>
      <c r="LC73" s="85"/>
      <c r="LD73" s="85"/>
      <c r="LE73" s="85"/>
      <c r="LF73" s="85"/>
      <c r="LG73" s="85"/>
      <c r="LH73" s="85"/>
      <c r="LI73" s="85"/>
      <c r="LJ73" s="85"/>
      <c r="LK73" s="85"/>
      <c r="LL73" s="85"/>
      <c r="LM73" s="85"/>
      <c r="LN73" s="85"/>
      <c r="LO73" s="85"/>
      <c r="LP73" s="85"/>
      <c r="LQ73" s="85"/>
      <c r="LR73" s="85"/>
      <c r="LS73" s="85"/>
      <c r="LT73" s="85"/>
      <c r="LU73" s="85"/>
      <c r="LV73" s="85"/>
      <c r="LW73" s="85"/>
    </row>
    <row r="74" spans="1:336" ht="14.4" thickTop="1" thickBot="1" x14ac:dyDescent="0.3">
      <c r="B74" t="str">
        <f>[1]List1!$A$173</f>
        <v>Vysvětlení</v>
      </c>
      <c r="E74" s="351">
        <v>2</v>
      </c>
      <c r="F74" s="144">
        <v>3</v>
      </c>
      <c r="G74" s="145">
        <v>1</v>
      </c>
      <c r="Z74" s="338">
        <v>6</v>
      </c>
      <c r="AA74" s="353">
        <v>18</v>
      </c>
      <c r="AB74" s="354">
        <v>2</v>
      </c>
      <c r="AG74" s="273">
        <v>14</v>
      </c>
      <c r="AH74" s="273"/>
      <c r="AI74" s="273" t="str">
        <f t="shared" si="367"/>
        <v/>
      </c>
      <c r="AJ74" s="273" t="str">
        <f t="shared" si="367"/>
        <v/>
      </c>
      <c r="AK74" s="273"/>
      <c r="AL74" s="273"/>
      <c r="AM74" s="273"/>
      <c r="AN74" s="273" t="str">
        <f t="shared" si="368"/>
        <v/>
      </c>
      <c r="AO74" s="273" t="str">
        <f t="shared" si="368"/>
        <v/>
      </c>
      <c r="AP74" s="273"/>
      <c r="AQ74" s="273"/>
      <c r="AR74" s="273"/>
      <c r="AS74" s="273" t="str">
        <f t="shared" si="369"/>
        <v/>
      </c>
      <c r="AT74" s="273" t="str">
        <f t="shared" si="369"/>
        <v/>
      </c>
      <c r="AU74" s="273"/>
      <c r="AV74" s="273"/>
      <c r="AW74" s="273"/>
      <c r="AX74" s="273" t="str">
        <f t="shared" si="370"/>
        <v/>
      </c>
      <c r="AY74" s="273" t="str">
        <f t="shared" si="370"/>
        <v/>
      </c>
      <c r="AZ74" s="273"/>
      <c r="BA74" s="273"/>
      <c r="BB74" s="273"/>
      <c r="BC74" s="273" t="str">
        <f t="shared" si="371"/>
        <v/>
      </c>
      <c r="BD74" s="273" t="str">
        <f t="shared" si="371"/>
        <v/>
      </c>
      <c r="DO74"/>
      <c r="DW74" s="317" t="s">
        <v>44</v>
      </c>
      <c r="GN74" s="200"/>
      <c r="GO74" s="80"/>
      <c r="GP74" s="80"/>
      <c r="GQ74" s="197"/>
    </row>
    <row r="75" spans="1:336" ht="13.8" thickBot="1" x14ac:dyDescent="0.3">
      <c r="E75" s="352"/>
      <c r="F75" s="146">
        <v>10</v>
      </c>
      <c r="G75" s="147"/>
      <c r="Z75" s="338"/>
      <c r="AA75" s="353"/>
      <c r="AB75" s="354"/>
      <c r="AG75" s="273">
        <v>15</v>
      </c>
      <c r="AH75" s="273"/>
      <c r="AI75" s="273" t="str">
        <f t="shared" si="367"/>
        <v/>
      </c>
      <c r="AJ75" s="273" t="str">
        <f t="shared" si="367"/>
        <v/>
      </c>
      <c r="AK75" s="273"/>
      <c r="AL75" s="273"/>
      <c r="AM75" s="273"/>
      <c r="AN75" s="273" t="str">
        <f t="shared" si="368"/>
        <v/>
      </c>
      <c r="AO75" s="273" t="str">
        <f t="shared" si="368"/>
        <v/>
      </c>
      <c r="AP75" s="273"/>
      <c r="AQ75" s="273"/>
      <c r="AR75" s="273"/>
      <c r="AS75" s="273" t="str">
        <f t="shared" si="369"/>
        <v/>
      </c>
      <c r="AT75" s="273" t="str">
        <f t="shared" si="369"/>
        <v/>
      </c>
      <c r="AU75" s="273"/>
      <c r="AV75" s="273"/>
      <c r="AW75" s="273"/>
      <c r="AX75" s="273" t="str">
        <f t="shared" si="370"/>
        <v/>
      </c>
      <c r="AY75" s="273" t="str">
        <f t="shared" si="370"/>
        <v/>
      </c>
      <c r="AZ75" s="273"/>
      <c r="BA75" s="273"/>
      <c r="BB75" s="273"/>
      <c r="BC75" s="273" t="str">
        <f t="shared" si="371"/>
        <v/>
      </c>
      <c r="BD75" s="273" t="str">
        <f t="shared" si="371"/>
        <v/>
      </c>
      <c r="BY75" s="36">
        <v>1</v>
      </c>
      <c r="BZ75" s="36">
        <f t="shared" ref="BZ75:CV75" si="372">BY75+1</f>
        <v>2</v>
      </c>
      <c r="CA75" s="36">
        <f t="shared" si="372"/>
        <v>3</v>
      </c>
      <c r="CB75" s="36">
        <f t="shared" si="372"/>
        <v>4</v>
      </c>
      <c r="CC75" s="36">
        <f t="shared" si="372"/>
        <v>5</v>
      </c>
      <c r="CD75" s="36">
        <f t="shared" si="372"/>
        <v>6</v>
      </c>
      <c r="CE75" s="36">
        <f t="shared" si="372"/>
        <v>7</v>
      </c>
      <c r="CF75" s="36">
        <f t="shared" si="372"/>
        <v>8</v>
      </c>
      <c r="CG75" s="36">
        <f t="shared" si="372"/>
        <v>9</v>
      </c>
      <c r="CH75" s="36">
        <f t="shared" si="372"/>
        <v>10</v>
      </c>
      <c r="CI75" s="36">
        <f t="shared" si="372"/>
        <v>11</v>
      </c>
      <c r="CJ75" s="36">
        <f t="shared" si="372"/>
        <v>12</v>
      </c>
      <c r="CK75" s="36">
        <f t="shared" si="372"/>
        <v>13</v>
      </c>
      <c r="CL75" s="36">
        <f t="shared" si="372"/>
        <v>14</v>
      </c>
      <c r="CM75" s="36">
        <f t="shared" si="372"/>
        <v>15</v>
      </c>
      <c r="CN75" s="36">
        <f t="shared" si="372"/>
        <v>16</v>
      </c>
      <c r="CO75" s="36">
        <f t="shared" si="372"/>
        <v>17</v>
      </c>
      <c r="CP75" s="36">
        <f t="shared" si="372"/>
        <v>18</v>
      </c>
      <c r="CQ75" s="36">
        <f t="shared" si="372"/>
        <v>19</v>
      </c>
      <c r="CR75" s="36">
        <f t="shared" si="372"/>
        <v>20</v>
      </c>
      <c r="CS75" s="36">
        <f t="shared" si="372"/>
        <v>21</v>
      </c>
      <c r="CT75" s="36">
        <f t="shared" si="372"/>
        <v>22</v>
      </c>
      <c r="CU75" s="36">
        <f t="shared" si="372"/>
        <v>23</v>
      </c>
      <c r="CV75" s="36">
        <f t="shared" si="372"/>
        <v>24</v>
      </c>
      <c r="DO75"/>
      <c r="DV75" s="317" t="s">
        <v>39</v>
      </c>
      <c r="DW75" s="317"/>
      <c r="EP75" s="36">
        <v>1</v>
      </c>
      <c r="EQ75" s="36">
        <f>EP75+1</f>
        <v>2</v>
      </c>
      <c r="ER75" s="36">
        <f t="shared" ref="ER75:FM75" si="373">EQ75+1</f>
        <v>3</v>
      </c>
      <c r="ES75" s="36">
        <f t="shared" si="373"/>
        <v>4</v>
      </c>
      <c r="ET75" s="36">
        <f t="shared" si="373"/>
        <v>5</v>
      </c>
      <c r="EU75" s="36">
        <f t="shared" si="373"/>
        <v>6</v>
      </c>
      <c r="EV75" s="36">
        <f t="shared" si="373"/>
        <v>7</v>
      </c>
      <c r="EW75" s="36">
        <f t="shared" si="373"/>
        <v>8</v>
      </c>
      <c r="EX75" s="36">
        <f t="shared" si="373"/>
        <v>9</v>
      </c>
      <c r="EY75" s="36">
        <f t="shared" si="373"/>
        <v>10</v>
      </c>
      <c r="EZ75" s="36">
        <f t="shared" si="373"/>
        <v>11</v>
      </c>
      <c r="FA75" s="36">
        <f t="shared" si="373"/>
        <v>12</v>
      </c>
      <c r="FB75" s="36">
        <f t="shared" si="373"/>
        <v>13</v>
      </c>
      <c r="FC75" s="36">
        <f t="shared" si="373"/>
        <v>14</v>
      </c>
      <c r="FD75" s="36">
        <f t="shared" si="373"/>
        <v>15</v>
      </c>
      <c r="FE75" s="36">
        <f t="shared" si="373"/>
        <v>16</v>
      </c>
      <c r="FF75" s="36">
        <f t="shared" si="373"/>
        <v>17</v>
      </c>
      <c r="FG75" s="36">
        <f t="shared" si="373"/>
        <v>18</v>
      </c>
      <c r="FH75" s="36">
        <f t="shared" si="373"/>
        <v>19</v>
      </c>
      <c r="FI75" s="36">
        <f t="shared" si="373"/>
        <v>20</v>
      </c>
      <c r="FJ75" s="36">
        <f t="shared" si="373"/>
        <v>21</v>
      </c>
      <c r="FK75" s="36">
        <f t="shared" si="373"/>
        <v>22</v>
      </c>
      <c r="FL75" s="36">
        <f t="shared" si="373"/>
        <v>23</v>
      </c>
      <c r="FM75" s="36">
        <f t="shared" si="373"/>
        <v>24</v>
      </c>
      <c r="GN75" s="324" t="str">
        <f>[1]List1!$D$54</f>
        <v>Bodovací lístek</v>
      </c>
      <c r="GO75" s="294"/>
      <c r="GP75" s="294"/>
      <c r="GQ75" s="325"/>
      <c r="HB75" s="36">
        <v>1</v>
      </c>
      <c r="HC75" s="36">
        <f t="shared" ref="HC75:IL75" si="374">HB75+1</f>
        <v>2</v>
      </c>
      <c r="HD75" s="36">
        <f t="shared" si="374"/>
        <v>3</v>
      </c>
      <c r="HE75" s="36">
        <f t="shared" si="374"/>
        <v>4</v>
      </c>
      <c r="HF75" s="36">
        <f t="shared" si="374"/>
        <v>5</v>
      </c>
      <c r="HG75" s="36">
        <f t="shared" si="374"/>
        <v>6</v>
      </c>
      <c r="HH75" s="36">
        <f t="shared" si="374"/>
        <v>7</v>
      </c>
      <c r="HI75" s="36">
        <f t="shared" si="374"/>
        <v>8</v>
      </c>
      <c r="HJ75" s="36">
        <f t="shared" si="374"/>
        <v>9</v>
      </c>
      <c r="HK75" s="36">
        <f t="shared" si="374"/>
        <v>10</v>
      </c>
      <c r="HL75" s="36">
        <f t="shared" si="374"/>
        <v>11</v>
      </c>
      <c r="HM75" s="36">
        <f t="shared" si="374"/>
        <v>12</v>
      </c>
      <c r="HN75" s="36">
        <f t="shared" si="374"/>
        <v>13</v>
      </c>
      <c r="HO75" s="36">
        <f t="shared" si="374"/>
        <v>14</v>
      </c>
      <c r="HP75" s="36">
        <f t="shared" si="374"/>
        <v>15</v>
      </c>
      <c r="HQ75" s="36">
        <f t="shared" si="374"/>
        <v>16</v>
      </c>
      <c r="HR75" s="36">
        <f t="shared" si="374"/>
        <v>17</v>
      </c>
      <c r="HS75" s="36">
        <f t="shared" si="374"/>
        <v>18</v>
      </c>
      <c r="HT75" s="36">
        <f t="shared" si="374"/>
        <v>19</v>
      </c>
      <c r="HU75" s="36">
        <f t="shared" si="374"/>
        <v>20</v>
      </c>
      <c r="HV75" s="36">
        <f t="shared" si="374"/>
        <v>21</v>
      </c>
      <c r="HW75" s="36">
        <f t="shared" si="374"/>
        <v>22</v>
      </c>
      <c r="HX75" s="36">
        <f t="shared" si="374"/>
        <v>23</v>
      </c>
      <c r="HY75" s="36">
        <f t="shared" si="374"/>
        <v>24</v>
      </c>
      <c r="HZ75" s="36">
        <f t="shared" si="374"/>
        <v>25</v>
      </c>
      <c r="IA75" s="36">
        <f t="shared" si="374"/>
        <v>26</v>
      </c>
      <c r="IB75" s="36">
        <f t="shared" si="374"/>
        <v>27</v>
      </c>
      <c r="IC75" s="36">
        <f t="shared" si="374"/>
        <v>28</v>
      </c>
      <c r="ID75" s="36">
        <f t="shared" si="374"/>
        <v>29</v>
      </c>
      <c r="IE75" s="36">
        <f t="shared" si="374"/>
        <v>30</v>
      </c>
      <c r="IF75" s="36">
        <f t="shared" si="374"/>
        <v>31</v>
      </c>
      <c r="IG75" s="36">
        <f t="shared" si="374"/>
        <v>32</v>
      </c>
      <c r="IH75" s="36">
        <f t="shared" si="374"/>
        <v>33</v>
      </c>
      <c r="II75" s="36">
        <f t="shared" si="374"/>
        <v>34</v>
      </c>
      <c r="IJ75" s="36">
        <f t="shared" si="374"/>
        <v>35</v>
      </c>
      <c r="IK75" s="36">
        <f t="shared" si="374"/>
        <v>36</v>
      </c>
      <c r="IL75" s="36">
        <f t="shared" si="374"/>
        <v>37</v>
      </c>
      <c r="IM75" s="36">
        <v>37</v>
      </c>
      <c r="IN75" s="36">
        <v>38</v>
      </c>
      <c r="IO75" s="36">
        <v>39</v>
      </c>
      <c r="IP75" s="36">
        <v>40</v>
      </c>
      <c r="IQ75" s="36">
        <v>1</v>
      </c>
      <c r="IR75" s="36">
        <v>2</v>
      </c>
      <c r="IS75" s="36">
        <v>3</v>
      </c>
      <c r="IT75" s="36">
        <v>4</v>
      </c>
      <c r="IU75" s="36">
        <v>5</v>
      </c>
      <c r="IV75" s="36">
        <v>6</v>
      </c>
      <c r="IW75" s="36">
        <v>7</v>
      </c>
      <c r="IX75" s="36">
        <v>8</v>
      </c>
      <c r="IY75" s="36">
        <v>9</v>
      </c>
      <c r="IZ75" s="36">
        <v>10</v>
      </c>
      <c r="JA75" s="36">
        <v>11</v>
      </c>
      <c r="JB75" s="36">
        <v>12</v>
      </c>
      <c r="JC75" s="36">
        <v>13</v>
      </c>
      <c r="JD75" s="36">
        <v>14</v>
      </c>
      <c r="JE75" s="36">
        <v>15</v>
      </c>
      <c r="JF75" s="36">
        <v>16</v>
      </c>
      <c r="JG75" s="36">
        <v>17</v>
      </c>
      <c r="JH75" s="36">
        <v>18</v>
      </c>
      <c r="JI75" s="36">
        <v>19</v>
      </c>
      <c r="JJ75" s="36">
        <v>20</v>
      </c>
      <c r="JK75" s="36">
        <v>21</v>
      </c>
      <c r="JL75" s="36">
        <v>22</v>
      </c>
      <c r="JM75" s="36">
        <v>23</v>
      </c>
      <c r="JN75" s="36">
        <v>24</v>
      </c>
      <c r="JO75" s="36">
        <v>25</v>
      </c>
      <c r="JP75" s="36">
        <v>26</v>
      </c>
      <c r="JQ75" s="36">
        <v>27</v>
      </c>
      <c r="JR75" s="36">
        <v>28</v>
      </c>
      <c r="JS75" s="36">
        <v>29</v>
      </c>
      <c r="JT75" s="36">
        <v>30</v>
      </c>
      <c r="JU75" s="36">
        <v>31</v>
      </c>
      <c r="JV75" s="36">
        <v>32</v>
      </c>
      <c r="JW75" s="36">
        <v>33</v>
      </c>
      <c r="JX75" s="36">
        <v>34</v>
      </c>
      <c r="JY75" s="36">
        <v>35</v>
      </c>
      <c r="JZ75" s="36">
        <v>36</v>
      </c>
      <c r="KA75" s="36">
        <v>37</v>
      </c>
      <c r="KB75" s="36">
        <v>38</v>
      </c>
      <c r="KC75" s="36">
        <v>39</v>
      </c>
      <c r="KD75" s="36">
        <v>40</v>
      </c>
      <c r="KE75" s="36">
        <v>41</v>
      </c>
      <c r="KF75" s="36">
        <v>42</v>
      </c>
      <c r="KG75" s="36">
        <v>1</v>
      </c>
      <c r="KH75" s="36">
        <v>2</v>
      </c>
      <c r="KI75" s="36">
        <v>3</v>
      </c>
      <c r="KJ75" s="36">
        <v>4</v>
      </c>
      <c r="KK75" s="36">
        <v>5</v>
      </c>
      <c r="KL75" s="36">
        <v>6</v>
      </c>
      <c r="KM75" s="36">
        <v>7</v>
      </c>
      <c r="KN75" s="36">
        <v>8</v>
      </c>
      <c r="KO75" s="36">
        <v>9</v>
      </c>
      <c r="KQ75" s="36">
        <v>10</v>
      </c>
      <c r="KR75" s="36">
        <v>11</v>
      </c>
      <c r="KS75" s="36">
        <v>12</v>
      </c>
      <c r="KT75" s="36">
        <v>13</v>
      </c>
      <c r="KU75" s="36">
        <v>14</v>
      </c>
      <c r="KV75" s="36">
        <v>15</v>
      </c>
      <c r="KW75" s="36">
        <v>16</v>
      </c>
      <c r="KX75" s="36">
        <v>17</v>
      </c>
      <c r="KY75" s="36">
        <v>18</v>
      </c>
      <c r="KZ75" s="36">
        <v>19</v>
      </c>
      <c r="LA75" s="36">
        <v>20</v>
      </c>
      <c r="LB75" s="36">
        <v>21</v>
      </c>
      <c r="LC75" s="36">
        <v>22</v>
      </c>
      <c r="LD75" s="36">
        <v>23</v>
      </c>
      <c r="LE75" s="36">
        <v>24</v>
      </c>
      <c r="LF75" s="36">
        <v>25</v>
      </c>
      <c r="LG75" s="36">
        <v>26</v>
      </c>
      <c r="LH75" s="36">
        <v>27</v>
      </c>
      <c r="LI75" s="36">
        <v>28</v>
      </c>
      <c r="LJ75" s="36">
        <v>29</v>
      </c>
      <c r="LK75" s="36">
        <v>30</v>
      </c>
      <c r="LL75" s="36">
        <v>31</v>
      </c>
      <c r="LM75" s="36">
        <v>32</v>
      </c>
      <c r="LN75" s="36">
        <v>33</v>
      </c>
      <c r="LO75" s="36">
        <v>34</v>
      </c>
      <c r="LP75" s="36">
        <v>35</v>
      </c>
      <c r="LQ75" s="36">
        <v>36</v>
      </c>
      <c r="LR75" s="36">
        <v>37</v>
      </c>
      <c r="LS75" s="36">
        <v>38</v>
      </c>
      <c r="LT75" s="36">
        <v>39</v>
      </c>
      <c r="LU75" s="36">
        <v>40</v>
      </c>
      <c r="LV75" s="36">
        <v>41</v>
      </c>
      <c r="LW75" s="36">
        <v>42</v>
      </c>
    </row>
    <row r="76" spans="1:336" ht="12.75" customHeight="1" x14ac:dyDescent="0.25">
      <c r="AG76" s="273">
        <v>16</v>
      </c>
      <c r="AH76" s="273"/>
      <c r="AI76" s="273" t="str">
        <f t="shared" si="367"/>
        <v/>
      </c>
      <c r="AJ76" s="273" t="str">
        <f t="shared" si="367"/>
        <v/>
      </c>
      <c r="AK76" s="273"/>
      <c r="AL76" s="273"/>
      <c r="AM76" s="273"/>
      <c r="AN76" s="273" t="str">
        <f t="shared" si="368"/>
        <v/>
      </c>
      <c r="AO76" s="273" t="str">
        <f t="shared" si="368"/>
        <v/>
      </c>
      <c r="AP76" s="273"/>
      <c r="AQ76" s="273"/>
      <c r="AR76" s="273"/>
      <c r="AS76" s="273" t="str">
        <f t="shared" si="369"/>
        <v/>
      </c>
      <c r="AT76" s="273" t="str">
        <f t="shared" si="369"/>
        <v/>
      </c>
      <c r="AU76" s="273"/>
      <c r="AV76" s="273"/>
      <c r="AW76" s="273"/>
      <c r="AX76" s="273" t="str">
        <f t="shared" si="370"/>
        <v/>
      </c>
      <c r="AY76" s="273" t="str">
        <f t="shared" si="370"/>
        <v/>
      </c>
      <c r="AZ76" s="273"/>
      <c r="BA76" s="273"/>
      <c r="BB76" s="273"/>
      <c r="BC76" s="273" t="str">
        <f t="shared" si="371"/>
        <v/>
      </c>
      <c r="BD76" s="273" t="str">
        <f t="shared" si="371"/>
        <v/>
      </c>
      <c r="BY76" s="297" t="str">
        <f>[1]List1!$A$12</f>
        <v>1. kolo</v>
      </c>
      <c r="BZ76" s="298"/>
      <c r="CA76" s="299"/>
      <c r="CB76" s="297" t="str">
        <f>[1]List1!$A$13</f>
        <v>2. kolo</v>
      </c>
      <c r="CC76" s="298"/>
      <c r="CD76" s="299"/>
      <c r="CE76" s="316" t="str">
        <f>[1]List1!$A$14</f>
        <v>3. kolo</v>
      </c>
      <c r="CF76" s="316"/>
      <c r="CG76" s="316"/>
      <c r="CH76" s="316" t="str">
        <f>[1]List1!$A$15</f>
        <v>4. kolo</v>
      </c>
      <c r="CI76" s="316"/>
      <c r="CJ76" s="316"/>
      <c r="CK76" s="316" t="str">
        <f>[1]List1!$A$16</f>
        <v>5. kolo</v>
      </c>
      <c r="CL76" s="316"/>
      <c r="CM76" s="316"/>
      <c r="CN76" s="316" t="str">
        <f>[1]List1!$B$16</f>
        <v>6. kolo</v>
      </c>
      <c r="CO76" s="316"/>
      <c r="CP76" s="316"/>
      <c r="CQ76" s="316" t="str">
        <f>[1]List1!$B$15</f>
        <v>7. kolo</v>
      </c>
      <c r="CR76" s="316"/>
      <c r="CS76" s="316"/>
      <c r="CT76" s="297" t="str">
        <f>[1]List1!$B$14</f>
        <v>8. kolo</v>
      </c>
      <c r="CU76" s="298"/>
      <c r="CV76" s="299"/>
      <c r="CW76" s="53"/>
      <c r="CX76" s="53"/>
      <c r="CY76" s="288"/>
      <c r="CZ76" s="288"/>
      <c r="DA76" s="288"/>
      <c r="DB76" s="288"/>
      <c r="DC76" s="288"/>
      <c r="DD76" s="288"/>
      <c r="DE76" s="288"/>
      <c r="DF76" s="288"/>
      <c r="DG76" s="288"/>
      <c r="DH76" s="36">
        <v>99</v>
      </c>
      <c r="DL76" s="297" t="str">
        <f>[1]List1!$B$31</f>
        <v>součet</v>
      </c>
      <c r="DM76" s="299"/>
      <c r="DN76" s="196"/>
      <c r="DO76"/>
      <c r="DR76" s="275"/>
      <c r="DV76" s="317"/>
      <c r="DW76" s="317"/>
      <c r="DX76" s="323">
        <v>10000000000</v>
      </c>
      <c r="DY76" s="323"/>
      <c r="DZ76" s="323"/>
      <c r="EB76" s="36">
        <f>LEN(DX76)</f>
        <v>11</v>
      </c>
      <c r="ED76" s="36">
        <f>VALUE(MID(DX76,EB76-1,2))</f>
        <v>0</v>
      </c>
      <c r="EN76" s="36" t="str">
        <f>$BQ$2</f>
        <v>VL</v>
      </c>
      <c r="EP76" s="297" t="str">
        <f>[1]List1!$A$12</f>
        <v>1. kolo</v>
      </c>
      <c r="EQ76" s="298"/>
      <c r="ER76" s="299"/>
      <c r="ES76" s="297" t="str">
        <f>[1]List1!$A$13</f>
        <v>2. kolo</v>
      </c>
      <c r="ET76" s="298"/>
      <c r="EU76" s="299"/>
      <c r="EV76" s="297" t="str">
        <f>[1]List1!$A$14</f>
        <v>3. kolo</v>
      </c>
      <c r="EW76" s="298"/>
      <c r="EX76" s="299"/>
      <c r="EY76" s="297" t="str">
        <f>[1]List1!$A$15</f>
        <v>4. kolo</v>
      </c>
      <c r="EZ76" s="298"/>
      <c r="FA76" s="299"/>
      <c r="FB76" s="297" t="str">
        <f>[1]List1!$A$16</f>
        <v>5. kolo</v>
      </c>
      <c r="FC76" s="298"/>
      <c r="FD76" s="299"/>
      <c r="FE76" s="297" t="str">
        <f>[1]List1!$B$16</f>
        <v>6. kolo</v>
      </c>
      <c r="FF76" s="298"/>
      <c r="FG76" s="299"/>
      <c r="FH76" s="297" t="str">
        <f>[1]List1!$B$15</f>
        <v>7. kolo</v>
      </c>
      <c r="FI76" s="298"/>
      <c r="FJ76" s="299"/>
      <c r="FK76" s="297" t="str">
        <f>[1]List1!$B$14</f>
        <v>8. kolo</v>
      </c>
      <c r="FL76" s="298"/>
      <c r="FM76" s="299"/>
      <c r="FT76" s="316" t="str">
        <f>[1]List1!$A$23</f>
        <v>1. repas</v>
      </c>
      <c r="FU76" s="316"/>
      <c r="FV76" s="316"/>
      <c r="FW76" s="316" t="str">
        <f>[1]List1!$A$24</f>
        <v>2. repas</v>
      </c>
      <c r="FX76" s="316"/>
      <c r="FY76" s="316"/>
      <c r="FZ76" s="316" t="str">
        <f>[1]List1!$A$25</f>
        <v>3. repas</v>
      </c>
      <c r="GA76" s="316"/>
      <c r="GB76" s="316"/>
      <c r="GN76" s="201"/>
      <c r="GO76" s="63"/>
      <c r="GP76" s="63"/>
      <c r="GQ76" s="202"/>
    </row>
    <row r="77" spans="1:336" ht="13.5" customHeight="1" thickBot="1" x14ac:dyDescent="0.3">
      <c r="C77" s="148">
        <v>2</v>
      </c>
      <c r="E77" t="str">
        <f>[1]List1!$A$174</f>
        <v>los soupeře</v>
      </c>
      <c r="W77" s="148">
        <v>6</v>
      </c>
      <c r="Y77" t="str">
        <f>[1]List1!$A$178</f>
        <v>součet bodu</v>
      </c>
      <c r="AG77" s="273"/>
      <c r="AH77" s="273"/>
      <c r="AI77" s="273"/>
      <c r="AJ77" s="273"/>
      <c r="AK77" s="273"/>
      <c r="AL77" s="273"/>
      <c r="AM77" s="273"/>
      <c r="AN77" s="273"/>
      <c r="AO77" s="273"/>
      <c r="AP77" s="273"/>
      <c r="AQ77" s="273"/>
      <c r="AR77" s="273"/>
      <c r="AS77" s="273"/>
      <c r="AT77" s="273"/>
      <c r="AU77" s="273"/>
      <c r="AV77" s="273"/>
      <c r="AW77" s="273"/>
      <c r="AX77" s="273"/>
      <c r="AY77" s="273"/>
      <c r="AZ77" s="273"/>
      <c r="BA77" s="273"/>
      <c r="BB77" s="273"/>
      <c r="BC77" s="273"/>
      <c r="BD77" s="273"/>
      <c r="BX77" s="288" t="str">
        <f>D6</f>
        <v>los</v>
      </c>
      <c r="BY77" s="313" t="str">
        <f>[1]List1!$F$15</f>
        <v>soupeř</v>
      </c>
      <c r="BZ77" s="314" t="str">
        <f>[1]List1!$B$28</f>
        <v>body</v>
      </c>
      <c r="CA77" s="315" t="str">
        <f>[1]List1!$B$29</f>
        <v>tech. body</v>
      </c>
      <c r="CB77" s="313" t="str">
        <f>[1]List1!$F$15</f>
        <v>soupeř</v>
      </c>
      <c r="CC77" s="314" t="str">
        <f>[1]List1!$B$28</f>
        <v>body</v>
      </c>
      <c r="CD77" s="315" t="str">
        <f>[1]List1!$B$29</f>
        <v>tech. body</v>
      </c>
      <c r="CE77" s="313" t="str">
        <f>[1]List1!$F$15</f>
        <v>soupeř</v>
      </c>
      <c r="CF77" s="314" t="str">
        <f>[1]List1!$B$28</f>
        <v>body</v>
      </c>
      <c r="CG77" s="315" t="str">
        <f>[1]List1!$B$29</f>
        <v>tech. body</v>
      </c>
      <c r="CH77" s="313" t="str">
        <f>[1]List1!$F$15</f>
        <v>soupeř</v>
      </c>
      <c r="CI77" s="314" t="str">
        <f>[1]List1!$B$28</f>
        <v>body</v>
      </c>
      <c r="CJ77" s="315" t="str">
        <f>[1]List1!$B$29</f>
        <v>tech. body</v>
      </c>
      <c r="CK77" s="313" t="str">
        <f>[1]List1!$F$15</f>
        <v>soupeř</v>
      </c>
      <c r="CL77" s="314" t="str">
        <f>[1]List1!$B$28</f>
        <v>body</v>
      </c>
      <c r="CM77" s="315" t="str">
        <f>[1]List1!$B$29</f>
        <v>tech. body</v>
      </c>
      <c r="CN77" s="313" t="str">
        <f>[1]List1!$F$15</f>
        <v>soupeř</v>
      </c>
      <c r="CO77" s="314" t="str">
        <f>[1]List1!$B$28</f>
        <v>body</v>
      </c>
      <c r="CP77" s="315" t="str">
        <f>[1]List1!$B$29</f>
        <v>tech. body</v>
      </c>
      <c r="CQ77" s="313" t="str">
        <f>[1]List1!$F$15</f>
        <v>soupeř</v>
      </c>
      <c r="CR77" s="314" t="str">
        <f>[1]List1!$B$28</f>
        <v>body</v>
      </c>
      <c r="CS77" s="315" t="str">
        <f>[1]List1!$B$29</f>
        <v>tech. body</v>
      </c>
      <c r="CT77" s="313" t="str">
        <f>[1]List1!$F$15</f>
        <v>soupeř</v>
      </c>
      <c r="CU77" s="314" t="str">
        <f>[1]List1!$B$28</f>
        <v>body</v>
      </c>
      <c r="CV77" s="315" t="str">
        <f>[1]List1!$B$29</f>
        <v>tech. body</v>
      </c>
      <c r="CW77" s="304"/>
      <c r="CX77" s="304"/>
      <c r="CY77" s="304"/>
      <c r="CZ77" s="304"/>
      <c r="DA77" s="304"/>
      <c r="DB77" s="304"/>
      <c r="DC77" s="304"/>
      <c r="DD77" s="304"/>
      <c r="DE77" s="304"/>
      <c r="DF77" s="304"/>
      <c r="DG77" s="304"/>
      <c r="DH77" s="304" t="s">
        <v>68</v>
      </c>
      <c r="DJ77" s="288" t="str">
        <f>BX77</f>
        <v>los</v>
      </c>
      <c r="DL77" s="313" t="str">
        <f>[1]List1!$B$28</f>
        <v>body</v>
      </c>
      <c r="DM77" s="314" t="str">
        <f>[1]List1!$B$29</f>
        <v>tech. body</v>
      </c>
      <c r="DN77" s="307" t="s">
        <v>43</v>
      </c>
      <c r="DO77"/>
      <c r="DR77" s="317" t="s">
        <v>47</v>
      </c>
      <c r="DS77" s="317" t="str">
        <f>[1]List1!$G$21</f>
        <v>lopatky</v>
      </c>
      <c r="DT77" s="317" t="str">
        <f>[1]List1!$G$22</f>
        <v>tech. přev.</v>
      </c>
      <c r="DU77" s="317" t="str">
        <f>[1]List1!$G$23</f>
        <v>body</v>
      </c>
      <c r="DV77" s="317"/>
      <c r="DW77" s="317"/>
      <c r="EP77" s="313" t="str">
        <f>[1]List1!$F$15</f>
        <v>soupeř</v>
      </c>
      <c r="EQ77" s="314" t="str">
        <f>[1]List1!$B$28</f>
        <v>body</v>
      </c>
      <c r="ER77" s="315" t="str">
        <f>[1]List1!$B$29</f>
        <v>tech. body</v>
      </c>
      <c r="ES77" s="313" t="str">
        <f>[1]List1!$F$15</f>
        <v>soupeř</v>
      </c>
      <c r="ET77" s="314" t="str">
        <f>[1]List1!$B$28</f>
        <v>body</v>
      </c>
      <c r="EU77" s="315" t="str">
        <f>[1]List1!$B$29</f>
        <v>tech. body</v>
      </c>
      <c r="EV77" s="313" t="str">
        <f>[1]List1!$F$15</f>
        <v>soupeř</v>
      </c>
      <c r="EW77" s="314" t="str">
        <f>[1]List1!$B$28</f>
        <v>body</v>
      </c>
      <c r="EX77" s="315" t="str">
        <f>[1]List1!$B$29</f>
        <v>tech. body</v>
      </c>
      <c r="EY77" s="313" t="str">
        <f>[1]List1!$F$15</f>
        <v>soupeř</v>
      </c>
      <c r="EZ77" s="314" t="str">
        <f>[1]List1!$B$28</f>
        <v>body</v>
      </c>
      <c r="FA77" s="315" t="str">
        <f>[1]List1!$B$29</f>
        <v>tech. body</v>
      </c>
      <c r="FB77" s="313" t="str">
        <f>[1]List1!$F$15</f>
        <v>soupeř</v>
      </c>
      <c r="FC77" s="314" t="str">
        <f>[1]List1!$B$28</f>
        <v>body</v>
      </c>
      <c r="FD77" s="315" t="str">
        <f>[1]List1!$B$29</f>
        <v>tech. body</v>
      </c>
      <c r="FE77" s="313" t="str">
        <f>[1]List1!$F$15</f>
        <v>soupeř</v>
      </c>
      <c r="FF77" s="314" t="str">
        <f>[1]List1!$B$28</f>
        <v>body</v>
      </c>
      <c r="FG77" s="315" t="str">
        <f>[1]List1!$B$29</f>
        <v>tech. body</v>
      </c>
      <c r="FH77" s="313" t="str">
        <f>[1]List1!$F$15</f>
        <v>soupeř</v>
      </c>
      <c r="FI77" s="314" t="str">
        <f>[1]List1!$B$28</f>
        <v>body</v>
      </c>
      <c r="FJ77" s="315" t="str">
        <f>[1]List1!$B$29</f>
        <v>tech. body</v>
      </c>
      <c r="FK77" s="313" t="str">
        <f>[1]List1!$F$15</f>
        <v>soupeř</v>
      </c>
      <c r="FL77" s="314" t="str">
        <f>[1]List1!$B$28</f>
        <v>body</v>
      </c>
      <c r="FM77" s="315" t="str">
        <f>[1]List1!$B$29</f>
        <v>tech. body</v>
      </c>
      <c r="FS77" s="310" t="str">
        <f>EL80</f>
        <v>los</v>
      </c>
      <c r="FT77" s="314" t="str">
        <f>[1]List1!$F$15</f>
        <v>soupeř</v>
      </c>
      <c r="FU77" s="314" t="str">
        <f>[1]List1!$B$28</f>
        <v>body</v>
      </c>
      <c r="FV77" s="315" t="str">
        <f>[1]List1!$B$29</f>
        <v>tech. body</v>
      </c>
      <c r="FW77" s="313" t="str">
        <f>[1]List1!$F$15</f>
        <v>soupeř</v>
      </c>
      <c r="FX77" s="314" t="str">
        <f>[1]List1!$B$28</f>
        <v>body</v>
      </c>
      <c r="FY77" s="315" t="str">
        <f>[1]List1!$B$29</f>
        <v>tech. body</v>
      </c>
      <c r="FZ77" s="313" t="str">
        <f>[1]List1!$F$15</f>
        <v>soupeř</v>
      </c>
      <c r="GA77" s="314" t="str">
        <f>[1]List1!$B$28</f>
        <v>body</v>
      </c>
      <c r="GB77" s="315" t="str">
        <f>[1]List1!$B$29</f>
        <v>tech. body</v>
      </c>
      <c r="GD77" s="306" t="str">
        <f>FL77</f>
        <v>body</v>
      </c>
      <c r="GE77" s="300" t="str">
        <f>FM77</f>
        <v>tech. body</v>
      </c>
      <c r="GK77" s="288" t="str">
        <f>[1]List1!$A$23</f>
        <v>1. repas</v>
      </c>
      <c r="GL77" s="288"/>
      <c r="GN77" s="201"/>
      <c r="GO77" s="294" t="str">
        <f>GK77</f>
        <v>1. repas</v>
      </c>
      <c r="GP77" s="294"/>
      <c r="GQ77" s="202"/>
      <c r="GT77" s="67" t="str">
        <f>[1]List1!$C$11</f>
        <v>do tabulky</v>
      </c>
      <c r="GV77" s="36">
        <f>IF(AC5="x",1,0)</f>
        <v>1</v>
      </c>
    </row>
    <row r="78" spans="1:336" ht="13.8" thickBot="1" x14ac:dyDescent="0.3">
      <c r="C78" s="148">
        <v>3</v>
      </c>
      <c r="E78" t="str">
        <f>[1]List1!$A$175</f>
        <v>body</v>
      </c>
      <c r="W78" s="148">
        <v>18</v>
      </c>
      <c r="X78" s="148"/>
      <c r="Y78" t="str">
        <f>[1]List1!$A$179</f>
        <v>součet technických bodů</v>
      </c>
      <c r="AC78" s="148"/>
      <c r="AG78" s="273"/>
      <c r="BX78" s="288"/>
      <c r="BY78" s="313"/>
      <c r="BZ78" s="314"/>
      <c r="CA78" s="315"/>
      <c r="CB78" s="313"/>
      <c r="CC78" s="314"/>
      <c r="CD78" s="315"/>
      <c r="CE78" s="313"/>
      <c r="CF78" s="314"/>
      <c r="CG78" s="315"/>
      <c r="CH78" s="313"/>
      <c r="CI78" s="314"/>
      <c r="CJ78" s="315"/>
      <c r="CK78" s="313"/>
      <c r="CL78" s="314"/>
      <c r="CM78" s="315"/>
      <c r="CN78" s="313"/>
      <c r="CO78" s="314"/>
      <c r="CP78" s="315"/>
      <c r="CQ78" s="313"/>
      <c r="CR78" s="314"/>
      <c r="CS78" s="315"/>
      <c r="CT78" s="313"/>
      <c r="CU78" s="314"/>
      <c r="CV78" s="315"/>
      <c r="CW78" s="304"/>
      <c r="CX78" s="304"/>
      <c r="CY78" s="304"/>
      <c r="CZ78" s="304"/>
      <c r="DA78" s="304"/>
      <c r="DB78" s="304"/>
      <c r="DC78" s="304"/>
      <c r="DD78" s="304"/>
      <c r="DE78" s="304"/>
      <c r="DF78" s="304"/>
      <c r="DG78" s="304"/>
      <c r="DH78" s="304"/>
      <c r="DJ78" s="288"/>
      <c r="DL78" s="313"/>
      <c r="DM78" s="314"/>
      <c r="DN78" s="307"/>
      <c r="DO78"/>
      <c r="DR78" s="317"/>
      <c r="DS78" s="317"/>
      <c r="DT78" s="317"/>
      <c r="DU78" s="317"/>
      <c r="DV78" s="317"/>
      <c r="DW78" s="317"/>
      <c r="EN78" s="67" t="str">
        <f>[1]List1!$G$25</f>
        <v>repasáž</v>
      </c>
      <c r="EP78" s="313"/>
      <c r="EQ78" s="314"/>
      <c r="ER78" s="315"/>
      <c r="ES78" s="313"/>
      <c r="ET78" s="314"/>
      <c r="EU78" s="315"/>
      <c r="EV78" s="313"/>
      <c r="EW78" s="314"/>
      <c r="EX78" s="315"/>
      <c r="EY78" s="313"/>
      <c r="EZ78" s="314"/>
      <c r="FA78" s="315"/>
      <c r="FB78" s="313"/>
      <c r="FC78" s="314"/>
      <c r="FD78" s="315"/>
      <c r="FE78" s="313"/>
      <c r="FF78" s="314"/>
      <c r="FG78" s="315"/>
      <c r="FH78" s="313"/>
      <c r="FI78" s="314"/>
      <c r="FJ78" s="315"/>
      <c r="FK78" s="313"/>
      <c r="FL78" s="314"/>
      <c r="FM78" s="315"/>
      <c r="FS78" s="311"/>
      <c r="FT78" s="314"/>
      <c r="FU78" s="314"/>
      <c r="FV78" s="315"/>
      <c r="FW78" s="313"/>
      <c r="FX78" s="314"/>
      <c r="FY78" s="315"/>
      <c r="FZ78" s="313"/>
      <c r="GA78" s="314"/>
      <c r="GB78" s="315"/>
      <c r="GD78" s="307"/>
      <c r="GE78" s="301"/>
      <c r="GN78" s="203"/>
      <c r="GQ78" s="173"/>
      <c r="GY78" s="393" t="str">
        <f>JY5</f>
        <v>do tabulky</v>
      </c>
      <c r="GZ78" s="394"/>
      <c r="HA78" s="394"/>
      <c r="HB78" s="394"/>
      <c r="HC78" s="394"/>
      <c r="HD78" s="394"/>
      <c r="HE78" s="394"/>
      <c r="HF78" s="395"/>
    </row>
    <row r="79" spans="1:336" ht="12.75" customHeight="1" thickBot="1" x14ac:dyDescent="0.3">
      <c r="C79" s="148">
        <v>10</v>
      </c>
      <c r="E79" t="str">
        <f>[1]List1!$A$176</f>
        <v>technické body</v>
      </c>
      <c r="W79" s="148">
        <v>2</v>
      </c>
      <c r="X79" s="148"/>
      <c r="Y79" t="str">
        <f>[1]List1!$A$182</f>
        <v>součet napomínání "O"</v>
      </c>
      <c r="AC79" s="148"/>
      <c r="AG79" s="273"/>
      <c r="BX79" s="288"/>
      <c r="BY79" s="313"/>
      <c r="BZ79" s="314"/>
      <c r="CA79" s="315"/>
      <c r="CB79" s="313"/>
      <c r="CC79" s="314"/>
      <c r="CD79" s="315"/>
      <c r="CE79" s="313"/>
      <c r="CF79" s="314"/>
      <c r="CG79" s="315"/>
      <c r="CH79" s="313"/>
      <c r="CI79" s="314"/>
      <c r="CJ79" s="315"/>
      <c r="CK79" s="313"/>
      <c r="CL79" s="314"/>
      <c r="CM79" s="315"/>
      <c r="CN79" s="313"/>
      <c r="CO79" s="314"/>
      <c r="CP79" s="315"/>
      <c r="CQ79" s="313"/>
      <c r="CR79" s="314"/>
      <c r="CS79" s="315"/>
      <c r="CT79" s="313"/>
      <c r="CU79" s="314"/>
      <c r="CV79" s="315"/>
      <c r="CW79" s="304"/>
      <c r="CX79" s="304"/>
      <c r="CY79" s="304"/>
      <c r="CZ79" s="304"/>
      <c r="DA79" s="304"/>
      <c r="DB79" s="304"/>
      <c r="DC79" s="304"/>
      <c r="DD79" s="304"/>
      <c r="DE79" s="304"/>
      <c r="DF79" s="304"/>
      <c r="DG79" s="304"/>
      <c r="DH79" s="304"/>
      <c r="DJ79" s="288"/>
      <c r="DL79" s="313"/>
      <c r="DM79" s="314"/>
      <c r="DN79" s="307"/>
      <c r="DO79"/>
      <c r="DR79" s="317"/>
      <c r="DS79" s="317"/>
      <c r="DT79" s="317"/>
      <c r="DU79" s="317"/>
      <c r="DV79" s="317"/>
      <c r="DW79" s="317"/>
      <c r="EP79" s="313"/>
      <c r="EQ79" s="314"/>
      <c r="ER79" s="315"/>
      <c r="ES79" s="313"/>
      <c r="ET79" s="314"/>
      <c r="EU79" s="315"/>
      <c r="EV79" s="313"/>
      <c r="EW79" s="314"/>
      <c r="EX79" s="315"/>
      <c r="EY79" s="313"/>
      <c r="EZ79" s="314"/>
      <c r="FA79" s="315"/>
      <c r="FB79" s="313"/>
      <c r="FC79" s="314"/>
      <c r="FD79" s="315"/>
      <c r="FE79" s="313"/>
      <c r="FF79" s="314"/>
      <c r="FG79" s="315"/>
      <c r="FH79" s="313"/>
      <c r="FI79" s="314"/>
      <c r="FJ79" s="315"/>
      <c r="FK79" s="313"/>
      <c r="FL79" s="314"/>
      <c r="FM79" s="315"/>
      <c r="FS79" s="311"/>
      <c r="FT79" s="314"/>
      <c r="FU79" s="314"/>
      <c r="FV79" s="315"/>
      <c r="FW79" s="313"/>
      <c r="FX79" s="314"/>
      <c r="FY79" s="315"/>
      <c r="FZ79" s="313"/>
      <c r="GA79" s="314"/>
      <c r="GB79" s="315"/>
      <c r="GD79" s="307"/>
      <c r="GE79" s="301"/>
      <c r="GH79" s="36">
        <f>FS81</f>
        <v>1</v>
      </c>
      <c r="GI79" s="36">
        <f>FS82</f>
        <v>2</v>
      </c>
      <c r="GK79" s="170" t="str">
        <f>IF(GD89=0,"",(INDEX(GH79:GH81,GD89)))</f>
        <v/>
      </c>
      <c r="GL79" s="171" t="str">
        <f>IF(GD89=0,"",(INDEX(GI79:GI81,GD89)))</f>
        <v/>
      </c>
      <c r="GN79" s="203"/>
      <c r="GO79" s="150" t="str">
        <f>IF(GK79="",IF(GK97="","xxx",GK97),GK79)</f>
        <v>xxx</v>
      </c>
      <c r="GP79" s="151" t="str">
        <f>IF(GL79="",IF(GL97="","xxx",GL97),GL79)</f>
        <v>xxx</v>
      </c>
      <c r="GQ79" s="173"/>
      <c r="GY79" s="207" t="str">
        <f>FS93</f>
        <v>los</v>
      </c>
      <c r="GZ79" s="208"/>
      <c r="HA79" s="209"/>
      <c r="HB79" s="209"/>
      <c r="HC79" s="207" t="str">
        <f>GY79</f>
        <v>los</v>
      </c>
      <c r="HD79" s="396"/>
      <c r="HE79" s="394"/>
      <c r="HF79" s="395"/>
    </row>
    <row r="80" spans="1:336" ht="13.8" thickBot="1" x14ac:dyDescent="0.3">
      <c r="C80" s="148">
        <v>1</v>
      </c>
      <c r="E80" t="str">
        <f>[1]List1!$A$181</f>
        <v>napomínání "O"</v>
      </c>
      <c r="X80" s="148"/>
      <c r="AC80" s="148"/>
      <c r="AG80" s="273"/>
      <c r="BX80" s="288"/>
      <c r="BY80" s="313"/>
      <c r="BZ80" s="314"/>
      <c r="CA80" s="315"/>
      <c r="CB80" s="313"/>
      <c r="CC80" s="314"/>
      <c r="CD80" s="315"/>
      <c r="CE80" s="313"/>
      <c r="CF80" s="314"/>
      <c r="CG80" s="315"/>
      <c r="CH80" s="313"/>
      <c r="CI80" s="314"/>
      <c r="CJ80" s="315"/>
      <c r="CK80" s="313"/>
      <c r="CL80" s="314"/>
      <c r="CM80" s="315"/>
      <c r="CN80" s="313"/>
      <c r="CO80" s="314"/>
      <c r="CP80" s="315"/>
      <c r="CQ80" s="313"/>
      <c r="CR80" s="314"/>
      <c r="CS80" s="315"/>
      <c r="CT80" s="313"/>
      <c r="CU80" s="314"/>
      <c r="CV80" s="315"/>
      <c r="CW80" s="304"/>
      <c r="CX80" s="304"/>
      <c r="CY80" s="304"/>
      <c r="CZ80" s="304"/>
      <c r="DA80" s="304"/>
      <c r="DB80" s="304"/>
      <c r="DC80" s="304"/>
      <c r="DD80" s="304"/>
      <c r="DE80" s="304"/>
      <c r="DF80" s="304"/>
      <c r="DG80" s="304"/>
      <c r="DH80" s="304"/>
      <c r="DJ80" s="288"/>
      <c r="DL80" s="313"/>
      <c r="DM80" s="314"/>
      <c r="DN80" s="307"/>
      <c r="DO80"/>
      <c r="DP80" s="36" t="str">
        <f>EL80</f>
        <v>los</v>
      </c>
      <c r="DQ80" s="36" t="s">
        <v>23</v>
      </c>
      <c r="DR80" s="317"/>
      <c r="DS80" s="317"/>
      <c r="DT80" s="317"/>
      <c r="DU80" s="317"/>
      <c r="DV80" s="317"/>
      <c r="DW80" s="317"/>
      <c r="DX80" s="288" t="str">
        <f>DQ80</f>
        <v>sens</v>
      </c>
      <c r="DY80" s="288"/>
      <c r="DZ80" s="288"/>
      <c r="EC80" s="67" t="s">
        <v>24</v>
      </c>
      <c r="EG80" s="36" t="s">
        <v>5</v>
      </c>
      <c r="EL80" s="36" t="str">
        <f>BX77</f>
        <v>los</v>
      </c>
      <c r="EP80" s="313"/>
      <c r="EQ80" s="314"/>
      <c r="ER80" s="315"/>
      <c r="ES80" s="313"/>
      <c r="ET80" s="314"/>
      <c r="EU80" s="315"/>
      <c r="EV80" s="313"/>
      <c r="EW80" s="314"/>
      <c r="EX80" s="315"/>
      <c r="EY80" s="313"/>
      <c r="EZ80" s="314"/>
      <c r="FA80" s="315"/>
      <c r="FB80" s="313"/>
      <c r="FC80" s="314"/>
      <c r="FD80" s="315"/>
      <c r="FE80" s="313"/>
      <c r="FF80" s="314"/>
      <c r="FG80" s="315"/>
      <c r="FH80" s="313"/>
      <c r="FI80" s="314"/>
      <c r="FJ80" s="315"/>
      <c r="FK80" s="313"/>
      <c r="FL80" s="314"/>
      <c r="FM80" s="315"/>
      <c r="FS80" s="312"/>
      <c r="FT80" s="314"/>
      <c r="FU80" s="314"/>
      <c r="FV80" s="315"/>
      <c r="FW80" s="313"/>
      <c r="FX80" s="314"/>
      <c r="FY80" s="315"/>
      <c r="FZ80" s="313"/>
      <c r="GA80" s="314"/>
      <c r="GB80" s="315"/>
      <c r="GD80" s="308"/>
      <c r="GE80" s="302"/>
      <c r="GH80" s="36">
        <f>FS83</f>
        <v>3</v>
      </c>
      <c r="GI80" s="36">
        <f>FS81</f>
        <v>1</v>
      </c>
      <c r="GN80" s="203"/>
      <c r="GO80" s="154" t="str">
        <f>IF(GK79="","xxx",GK97)</f>
        <v>xxx</v>
      </c>
      <c r="GP80" s="156" t="str">
        <f>IF(GL79="","xxx",GL97)</f>
        <v>xxx</v>
      </c>
      <c r="GQ80" s="173"/>
      <c r="GY80" s="183">
        <f>BX81</f>
        <v>1</v>
      </c>
      <c r="GZ80" s="122">
        <v>1</v>
      </c>
      <c r="HB80" s="36" t="str">
        <f>IF($GV$77=1,(IF(GY80=$EL$81,"F",IF(GY80=$EL$82,"F",IF(GY80=$EL$83,"F",IF(GY80=$EL$97,"F",IF(GY80=$EL$98,"F",IF(GY80=$EL$99,"F",""))))))),"")</f>
        <v>F</v>
      </c>
      <c r="HC80" s="176">
        <f>GY80</f>
        <v>1</v>
      </c>
      <c r="HD80" s="122">
        <v>1</v>
      </c>
      <c r="HF80" s="153" t="str">
        <f>HB80</f>
        <v>F</v>
      </c>
    </row>
    <row r="81" spans="1:214" ht="12.75" customHeight="1" x14ac:dyDescent="0.25">
      <c r="A81" t="str">
        <f>'[2]Základní údaje'!$B$7</f>
        <v xml:space="preserve">Jablunkov,  27.1.2024 </v>
      </c>
      <c r="C81" s="148"/>
      <c r="X81" s="148"/>
      <c r="AC81" s="148"/>
      <c r="BU81" s="36">
        <v>1</v>
      </c>
      <c r="BV81" s="36">
        <v>1</v>
      </c>
      <c r="BX81" s="63">
        <f>D7</f>
        <v>1</v>
      </c>
      <c r="BY81" s="138">
        <f>IF(E7=$BQ$2,0,(IF(E7="",0,E7)))</f>
        <v>2</v>
      </c>
      <c r="BZ81" s="36">
        <f>F7</f>
        <v>5</v>
      </c>
      <c r="CA81" s="149">
        <f>F8</f>
        <v>2</v>
      </c>
      <c r="CB81" s="138">
        <f>IF(H7=$BQ$2,0,(IF(H7="",0,H7)))</f>
        <v>3</v>
      </c>
      <c r="CC81" s="36">
        <f>I7</f>
        <v>0</v>
      </c>
      <c r="CD81" s="149">
        <f>I8</f>
        <v>0</v>
      </c>
      <c r="CE81" s="138">
        <f>IF(K7=$BQ$2,0,(IF(K7="",0,K7)))</f>
        <v>0</v>
      </c>
      <c r="CF81" s="36">
        <f>L7</f>
        <v>0</v>
      </c>
      <c r="CG81" s="149">
        <f>L8</f>
        <v>0</v>
      </c>
      <c r="CH81" s="138">
        <f>IF(N7=$BQ$2,0,(IF(N7="",0,N7)))</f>
        <v>0</v>
      </c>
      <c r="CI81" s="36">
        <f>O7</f>
        <v>0</v>
      </c>
      <c r="CJ81" s="149">
        <f>O8</f>
        <v>0</v>
      </c>
      <c r="CK81" s="138">
        <f>IF(Q7=$BQ$2,0,(IF(Q7="",0,Q7)))</f>
        <v>0</v>
      </c>
      <c r="CL81" s="36">
        <f>R7</f>
        <v>0</v>
      </c>
      <c r="CM81" s="149">
        <f>R8</f>
        <v>0</v>
      </c>
      <c r="CN81" s="138">
        <f>IF(T7=$BQ$2,0,(IF(T7="",0,T7)))</f>
        <v>0</v>
      </c>
      <c r="CO81" s="36">
        <f>U7</f>
        <v>0</v>
      </c>
      <c r="CP81" s="149">
        <f>U8</f>
        <v>0</v>
      </c>
      <c r="CQ81" s="138">
        <f>IF(W7=$BQ$2,0,(IF(W7="",0,W7)))</f>
        <v>0</v>
      </c>
      <c r="CR81" s="36">
        <f>X7</f>
        <v>0</v>
      </c>
      <c r="CS81" s="149">
        <f>X8</f>
        <v>0</v>
      </c>
      <c r="CT81" s="138"/>
      <c r="CV81" s="149"/>
      <c r="DH81" s="36">
        <f>IF(DJ81="",$DH$76,($DH$76-DJ81))</f>
        <v>98</v>
      </c>
      <c r="DI81" s="36">
        <f>BU81</f>
        <v>1</v>
      </c>
      <c r="DJ81" s="63">
        <f t="shared" ref="DJ81:DJ112" si="375">BX81</f>
        <v>1</v>
      </c>
      <c r="DK81" s="36">
        <f>BV81</f>
        <v>1</v>
      </c>
      <c r="DL81" s="140">
        <f>BZ81+CC81+CF81+CI81+CL81+CO81+CR81+CU81</f>
        <v>5</v>
      </c>
      <c r="DM81" s="141">
        <f>CA81+CD81+CG81+CJ81+CM81+CP81+CS81+CV81</f>
        <v>2</v>
      </c>
      <c r="DN81" s="138" t="str">
        <f>IF(AD7="","",1)</f>
        <v/>
      </c>
      <c r="DP81" s="36">
        <f>BX81</f>
        <v>1</v>
      </c>
      <c r="DQ81" s="36">
        <f>IF(BX81="",$BK$2,BV81)</f>
        <v>1</v>
      </c>
      <c r="DR81" s="36" t="str">
        <f>AC7</f>
        <v>F</v>
      </c>
      <c r="DS81" s="36">
        <f>(IF(BZ81=5,1,0))+(IF(CC81=5,1,0))+(IF(CQ81=5,1,0))+(IF(CT81=5,1,0))+(IF(CW81=5,1,0))+(IF(CZ81=5,1,0))+(IF(DC81=5,1,0))+(IF(DF81=5,1,0))</f>
        <v>1</v>
      </c>
      <c r="DT81" s="36">
        <f>(IF(BZ81=4,1,0))+(IF(CC81=4,1,0))+(IF(CQ81=4,1,0))+(IF(CT81=4,1,0))+(IF(CW81=4,1,0))+(IF(CZ81=4,1,0))+(IF(DC81=4,1,0))+(IF(DF81=4,1,0))</f>
        <v>0</v>
      </c>
      <c r="DU81" s="36">
        <f>(IF(BZ81=3,1,0))+(IF(CC81=3,1,0))+(IF(CQ81=3,1,0))+(IF(CT81=3,1,0))+(IF(CW81=3,1,0))+(IF(CZ81=3,1,0))+(IF(DC81=3,1,0))+(IF(DF81=3,1,0))</f>
        <v>0</v>
      </c>
      <c r="DV81" s="36">
        <f>7-(IF(BY81&gt;0,IF(BZ81&lt;2,1,0),0)+IF(CB81&gt;0,IF(CC81&lt;2,1,0),0)+IF(CE81&gt;0,IF(CF81&lt;2,1,0),0)+IF(CH81&gt;0,IF(CI81&lt;2,1,0),0)+IF(CK81&gt;0,IF(CL81&lt;2,1,0),0)+IF(CN81&gt;0,IF(CO81&lt;2,1,0),0)+IF(CQ81&gt;0,IF(CR81&lt;2,1,0),0))</f>
        <v>6</v>
      </c>
      <c r="DW81" s="36">
        <f>IF(DQ81=$BK$2,0,(IF(BP7&gt;1,1,0)))</f>
        <v>0</v>
      </c>
      <c r="DX81" s="296">
        <f>IF(DJ81="",$DX$76+0.001,((IF(DQ81=$BK$2,$DX$76,(((((((((300)-(DW81*100)+DL81)*10+DV81)*100+DM81)*10+DS81)*10+DT81)*10)+DU81)*100+DH81)))+0.01*DJ81+0.001))</f>
        <v>30560210098.010998</v>
      </c>
      <c r="DY81" s="296"/>
      <c r="DZ81" s="296"/>
      <c r="EA81" s="53">
        <f>LEN(DX81)</f>
        <v>15</v>
      </c>
      <c r="EB81" s="53"/>
      <c r="EC81" s="296">
        <f>IF(DQ81=$BK$2,DX81,(LARGE($DX$81:$DX$96,DQ81)))</f>
        <v>31070810096.030998</v>
      </c>
      <c r="ED81" s="296"/>
      <c r="EE81" s="296"/>
      <c r="EG81" s="36">
        <f>LEN(EC81)</f>
        <v>15</v>
      </c>
      <c r="EJ81" s="36">
        <f>VALUE(MID(EC81,EG81-2,2))</f>
        <v>3</v>
      </c>
      <c r="EL81" s="36">
        <f>EJ81</f>
        <v>3</v>
      </c>
      <c r="EM81" s="36" t="str">
        <f>AC7</f>
        <v>F</v>
      </c>
      <c r="EN81" s="36">
        <f t="shared" ref="EN81:EN112" si="376">IF(EM81="",$BK$2,DJ81)</f>
        <v>1</v>
      </c>
      <c r="EO81" s="36">
        <f>VALUE(SMALL($EN$81:$EN$96,DI81))</f>
        <v>1</v>
      </c>
      <c r="EP81" s="140">
        <f>VALUE(INDEX($BY$81:$BY$96,EO81))</f>
        <v>2</v>
      </c>
      <c r="EQ81" s="85">
        <f>INDEX($BZ$81:$BZ$96,EO81)</f>
        <v>5</v>
      </c>
      <c r="ER81" s="85">
        <f>INDEX($CA$81:$CA$96,EO81)</f>
        <v>2</v>
      </c>
      <c r="ES81" s="140">
        <f>VALUE(INDEX($CB$81:$CB$96,EO81))</f>
        <v>3</v>
      </c>
      <c r="ET81" s="85">
        <f>INDEX($CC$81:$CC$96,EO81)</f>
        <v>0</v>
      </c>
      <c r="EU81" s="141">
        <f>INDEX($CD$81:$CD$96,EO81)</f>
        <v>0</v>
      </c>
      <c r="EV81" s="85">
        <f>VALUE(INDEX($CE$81:$CE$96,EO81))</f>
        <v>0</v>
      </c>
      <c r="EW81" s="85">
        <f>INDEX($CF$81:$CF$96,EO81)</f>
        <v>0</v>
      </c>
      <c r="EX81" s="85">
        <f>INDEX($CG$81:$CG$96,EO81)</f>
        <v>0</v>
      </c>
      <c r="EY81" s="140">
        <f>VALUE(INDEX($CH$81:$CH$96,EO81))</f>
        <v>0</v>
      </c>
      <c r="EZ81" s="85">
        <f>INDEX($CI$81:$CI$96,EO81)</f>
        <v>0</v>
      </c>
      <c r="FA81" s="141">
        <f>INDEX($CJ$81:$CJ$96,EO81)</f>
        <v>0</v>
      </c>
      <c r="FB81" s="85">
        <f>VALUE(INDEX($CK$81:$CK$96,EO81))</f>
        <v>0</v>
      </c>
      <c r="FC81" s="85">
        <f>INDEX($CL$81:$CL$96,EO81)</f>
        <v>0</v>
      </c>
      <c r="FD81" s="85">
        <f>INDEX($CM$81:$CM$96,EO81)</f>
        <v>0</v>
      </c>
      <c r="FE81" s="140">
        <f>VALUE(INDEX($CN$81:$CN$96,EO81))</f>
        <v>0</v>
      </c>
      <c r="FF81" s="85">
        <f>INDEX($CO$81:$CO$96,EO81)</f>
        <v>0</v>
      </c>
      <c r="FG81" s="141">
        <f>INDEX($CP$81:$CP$96,EO81)</f>
        <v>0</v>
      </c>
      <c r="FH81" s="85">
        <f>VALUE(INDEX($CQ$81:$CQ$96,EO81))</f>
        <v>0</v>
      </c>
      <c r="FI81" s="85">
        <f>INDEX($CR$81:$CR$96,EO81)</f>
        <v>0</v>
      </c>
      <c r="FJ81" s="85">
        <f>INDEX($CS$81:$CS$96,EO81)</f>
        <v>0</v>
      </c>
      <c r="FK81" s="140">
        <f>VALUE(INDEX($CT$81:$CT$96,EO81))</f>
        <v>0</v>
      </c>
      <c r="FL81" s="85">
        <f>INDEX($CU$81:$CU$96,EO81)</f>
        <v>0</v>
      </c>
      <c r="FM81" s="141">
        <f>INDEX($CV$81:$CV$96,EO81)</f>
        <v>0</v>
      </c>
      <c r="FS81" s="122">
        <f>EO81</f>
        <v>1</v>
      </c>
      <c r="FT81" s="140">
        <f>FS82</f>
        <v>2</v>
      </c>
      <c r="FU81" s="85">
        <f>IF(FT81=$EN$76,"",(IF(FT81=EP81,EQ81,IF(FT81=ES81,ET81,IF(FT81=EV81,EW81,IF(FT81=EY81,EZ81,IF(FT81=FB81,FC81,IF(FT81=FE81,FF81,IF(FT81=FH81,FI81,IF(FT81=FK81,FL81,""))))))))))</f>
        <v>5</v>
      </c>
      <c r="FV81" s="141">
        <f>IF(FT81=$EN$76,"",(IF(FT81=EP81,ER81,IF(FT81=ES81,EU81,IF(FT81=EV81,EX81,IF(FT81=EY81,FA81,IF(FT81=FB81,FD81,IF(FT81=FE81,FG81,IF(FT81=FH81,FJ81,IF(FT81=FK81,FM81,""))))))))))</f>
        <v>2</v>
      </c>
      <c r="FW81" s="140">
        <f>FS83</f>
        <v>3</v>
      </c>
      <c r="FX81" s="85">
        <f>IF(FW81=$EN$76,"",(IF(FW81=EP81,EQ81,IF(FW81=ES81,ET81,IF(FW81=EV81,EW81,IF(FW81=EY81,EZ81,IF(FW81=FB81,FC81,IF(FW81=FE81,FF81,IF(FW81=FH81,FI81,IF(FW81=FK81,FL81,""))))))))))</f>
        <v>0</v>
      </c>
      <c r="FY81" s="141">
        <f>IF(FW81=$EN$76,"",(IF(FW81=EP81,ER81,IF(FW81=ES81,EU81,IF(FW81=EV81,EX81,IF(FW81=EY81,FA81,IF(FW81=FB81,FD81,IF(FW81=FE81,FG81,IF(FW81=FH81,FJ81,IF(FW81=FK81,FM81,""))))))))))</f>
        <v>0</v>
      </c>
      <c r="FZ81" s="85" t="str">
        <f>EN76</f>
        <v>VL</v>
      </c>
      <c r="GA81" s="85" t="str">
        <f>IF(FZ81=$EN$76,"",(IF(FZ81=EP81,EQ81,IF(FZ81=ES81,ET81,IF(FZ81=EV81,EW81,IF(FZ81=EY81,EZ81,IF(FZ81=FB81,FC81,IF(FZ81=FE81,FF81,IF(FZ81=FH81,FI81,IF(FZ81=FK81,FL81,""))))))))))</f>
        <v/>
      </c>
      <c r="GB81" s="141" t="str">
        <f>IF(FZ81=$EN$76,"",(IF(FZ81=EP81,ER81,IF(FZ81=ES81,EU81,IF(FZ81=EV81,EX81,IF(FZ81=EY81,FA81,IF(FZ81=FB81,FD81,IF(FZ81=FE81,FG81,IF(FZ81=FH81,FJ81,IF(FZ81=FK81,FM81,""))))))))))</f>
        <v/>
      </c>
      <c r="GD81" s="138">
        <f t="shared" ref="GD81:GE83" si="377">IF(FU81="",0,FU81)+IF(FX81="",0,FX81)+IF(GA81="",0,GA81)</f>
        <v>5</v>
      </c>
      <c r="GE81" s="149">
        <f t="shared" si="377"/>
        <v>2</v>
      </c>
      <c r="GH81" s="36">
        <f>FZ82</f>
        <v>3</v>
      </c>
      <c r="GI81" s="36">
        <f>FZ83</f>
        <v>2</v>
      </c>
      <c r="GN81" s="203"/>
      <c r="GQ81" s="173"/>
      <c r="GY81" s="183">
        <f t="shared" ref="GY81:GY111" si="378">BX82</f>
        <v>2</v>
      </c>
      <c r="GZ81" s="122">
        <f>GZ80+1</f>
        <v>2</v>
      </c>
      <c r="HB81" s="36" t="str">
        <f>IF($GV$77=1,(IF(GY81=$EL$81,"F",IF(GY81=$EL$82,"F",IF(GY81=$EL$83,"F",IF(GY81=$EL$97,"F",IF(GY81=$EL$98,"F",IF(GY81=$EL$99,"F",""))))))),"")</f>
        <v>F</v>
      </c>
      <c r="HC81" s="177"/>
      <c r="HD81" s="122"/>
      <c r="HF81" s="153"/>
    </row>
    <row r="82" spans="1:214" ht="13.5" customHeight="1" thickBot="1" x14ac:dyDescent="0.3">
      <c r="C82" s="148"/>
      <c r="X82" s="148"/>
      <c r="AC82" s="148"/>
      <c r="BU82" s="36">
        <f>BU81+1</f>
        <v>2</v>
      </c>
      <c r="BV82" s="36">
        <f>BV81+1</f>
        <v>2</v>
      </c>
      <c r="BX82" s="63">
        <f>D9</f>
        <v>2</v>
      </c>
      <c r="BY82" s="138">
        <f>IF(E9=$BQ$2,0,(IF(E9="",0,E9)))</f>
        <v>1</v>
      </c>
      <c r="BZ82" s="36">
        <f>F9</f>
        <v>0</v>
      </c>
      <c r="CA82" s="149">
        <f>F10</f>
        <v>0</v>
      </c>
      <c r="CB82" s="138">
        <f>IF(H9=$BQ$2,0,(IF(H9="",0,H9)))</f>
        <v>0</v>
      </c>
      <c r="CC82" s="36">
        <f>I9</f>
        <v>0</v>
      </c>
      <c r="CD82" s="149">
        <f>I10</f>
        <v>0</v>
      </c>
      <c r="CE82" s="138">
        <f>IF(K9=$BQ$2,0,(IF(K9="",0,K9)))</f>
        <v>3</v>
      </c>
      <c r="CF82" s="36">
        <f>L9</f>
        <v>0</v>
      </c>
      <c r="CG82" s="149">
        <f>L10</f>
        <v>0</v>
      </c>
      <c r="CH82" s="138">
        <f>IF(N9=$BQ$2,0,(IF(N9="",0,N9)))</f>
        <v>0</v>
      </c>
      <c r="CI82" s="36">
        <f>O9</f>
        <v>0</v>
      </c>
      <c r="CJ82" s="149">
        <f>O10</f>
        <v>0</v>
      </c>
      <c r="CK82" s="138">
        <f>IF(Q9=$BQ$2,0,(IF(Q9="",0,Q9)))</f>
        <v>0</v>
      </c>
      <c r="CL82" s="36">
        <f>R9</f>
        <v>0</v>
      </c>
      <c r="CM82" s="149">
        <f>R10</f>
        <v>0</v>
      </c>
      <c r="CN82" s="138">
        <f>IF(T9=$BQ$2,0,(IF(T9="",0,T9)))</f>
        <v>0</v>
      </c>
      <c r="CO82" s="36">
        <f>U9</f>
        <v>0</v>
      </c>
      <c r="CP82" s="149">
        <f>U10</f>
        <v>0</v>
      </c>
      <c r="CQ82" s="138">
        <f>IF(W9=$BQ$2,0,(IF(W9="",0,W9)))</f>
        <v>0</v>
      </c>
      <c r="CR82" s="36">
        <f>X9</f>
        <v>0</v>
      </c>
      <c r="CS82" s="149">
        <f>X10</f>
        <v>0</v>
      </c>
      <c r="CT82" s="138"/>
      <c r="CV82" s="149"/>
      <c r="DH82" s="36">
        <f t="shared" ref="DH82:DH112" si="379">IF(DJ82="",$DH$76,($DH$76-DJ82))</f>
        <v>97</v>
      </c>
      <c r="DI82" s="36">
        <f t="shared" ref="DI82:DI112" si="380">BU82</f>
        <v>2</v>
      </c>
      <c r="DJ82" s="63">
        <f t="shared" si="375"/>
        <v>2</v>
      </c>
      <c r="DK82" s="36">
        <f t="shared" ref="DK82:DK112" si="381">BV82</f>
        <v>2</v>
      </c>
      <c r="DL82" s="138">
        <f t="shared" ref="DL82:DL112" si="382">BZ82+CC82+CF82+CI82+CL82+CO82+CR82+CU82</f>
        <v>0</v>
      </c>
      <c r="DM82" s="149">
        <f t="shared" ref="DM82:DM112" si="383">CA82+CD82+CG82+CJ82+CM82+CP82+CS82+CV82</f>
        <v>0</v>
      </c>
      <c r="DN82" s="138" t="str">
        <f>IF(AD9="","",1)</f>
        <v/>
      </c>
      <c r="DP82" s="36">
        <f t="shared" ref="DP82:DP112" si="384">BX82</f>
        <v>2</v>
      </c>
      <c r="DQ82" s="36">
        <f t="shared" ref="DQ82:DQ112" si="385">IF(BX82="",$BK$2,BV82)</f>
        <v>2</v>
      </c>
      <c r="DR82" s="36" t="str">
        <f>AC9</f>
        <v>F</v>
      </c>
      <c r="DS82" s="36">
        <f t="shared" ref="DS82:DS112" si="386">(IF(BZ82=5,1,0))+(IF(CC82=5,1,0))+(IF(CQ82=5,1,0))+(IF(CT82=5,1,0))+(IF(CW82=5,1,0))+(IF(CZ82=5,1,0))+(IF(DC82=5,1,0))+(IF(DF82=5,1,0))</f>
        <v>0</v>
      </c>
      <c r="DT82" s="36">
        <f t="shared" ref="DT82:DT112" si="387">(IF(BZ82=4,1,0))+(IF(CC82=4,1,0))+(IF(CQ82=4,1,0))+(IF(CT82=4,1,0))+(IF(CW82=4,1,0))+(IF(CZ82=4,1,0))+(IF(DC82=4,1,0))+(IF(DF82=4,1,0))</f>
        <v>0</v>
      </c>
      <c r="DU82" s="36">
        <f t="shared" ref="DU82:DU112" si="388">(IF(BZ82=3,1,0))+(IF(CC82=3,1,0))+(IF(CQ82=3,1,0))+(IF(CT82=3,1,0))+(IF(CW82=3,1,0))+(IF(CZ82=3,1,0))+(IF(DC82=3,1,0))+(IF(DF82=3,1,0))</f>
        <v>0</v>
      </c>
      <c r="DV82" s="36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5</v>
      </c>
      <c r="DW82" s="36">
        <f>IF(DQ82=$BK$2,0,(IF(BP9&gt;1,1,0)))</f>
        <v>1</v>
      </c>
      <c r="DX82" s="296">
        <f t="shared" ref="DX82:DX96" si="390">IF(DJ82="",$DX$76+0.001,((IF(DQ82=$BK$2,$DX$76,(((((((((300)-(DW82*100)+DL82)*10+DV82)*100+DM82)*10+DS82)*10+DT82)*10)+DU82)*100+DH82)))+0.01*DJ82+0.001))</f>
        <v>20050000097.021</v>
      </c>
      <c r="DY82" s="296"/>
      <c r="DZ82" s="296"/>
      <c r="EA82" s="53">
        <f t="shared" ref="EA82:EA112" si="391">LEN(DX82)</f>
        <v>15</v>
      </c>
      <c r="EB82" s="53"/>
      <c r="EC82" s="296">
        <f t="shared" ref="EC82:EC96" si="392">IF(DQ82=$BK$2,DX82,(LARGE($DX$81:$DX$96,DQ82)))</f>
        <v>30560210098.010998</v>
      </c>
      <c r="ED82" s="296"/>
      <c r="EE82" s="296"/>
      <c r="EG82" s="36">
        <f t="shared" ref="EG82:EG96" si="393">LEN(EC82)</f>
        <v>15</v>
      </c>
      <c r="EJ82" s="36">
        <f t="shared" ref="EJ82:EJ112" si="394">VALUE(MID(EC82,EG82-2,2))</f>
        <v>1</v>
      </c>
      <c r="EL82" s="36">
        <f>EJ82</f>
        <v>1</v>
      </c>
      <c r="EM82" s="36" t="str">
        <f>AC9</f>
        <v>F</v>
      </c>
      <c r="EN82" s="36">
        <f t="shared" si="376"/>
        <v>2</v>
      </c>
      <c r="EO82" s="36">
        <f>VALUE(SMALL($EN$81:$EN$96,DI82))</f>
        <v>2</v>
      </c>
      <c r="EP82" s="138">
        <f>VALUE(INDEX($BY$81:$BY$96,EO82))</f>
        <v>1</v>
      </c>
      <c r="EQ82" s="36">
        <f>INDEX($BZ$81:$BZ$96,EO82)</f>
        <v>0</v>
      </c>
      <c r="ER82" s="36">
        <f>INDEX($CA$81:$CA$96,EO82)</f>
        <v>0</v>
      </c>
      <c r="ES82" s="138">
        <f>VALUE(INDEX($CB$81:$CB$96,EO82))</f>
        <v>0</v>
      </c>
      <c r="ET82" s="36">
        <f>INDEX($CC$81:$CC$96,EO82)</f>
        <v>0</v>
      </c>
      <c r="EU82" s="149">
        <f>INDEX($CD$81:$CD$96,EO82)</f>
        <v>0</v>
      </c>
      <c r="EV82" s="36">
        <f>VALUE(INDEX($CE$81:$CE$96,EO82))</f>
        <v>3</v>
      </c>
      <c r="EW82" s="36">
        <f>INDEX($CF$81:$CF$96,EO82)</f>
        <v>0</v>
      </c>
      <c r="EX82" s="36">
        <f>INDEX($CG$81:$CG$96,EO82)</f>
        <v>0</v>
      </c>
      <c r="EY82" s="138">
        <f>VALUE(INDEX($CH$81:$CH$96,EO82))</f>
        <v>0</v>
      </c>
      <c r="EZ82" s="36">
        <f>INDEX($CI$81:$CI$96,EO82)</f>
        <v>0</v>
      </c>
      <c r="FA82" s="149">
        <f>INDEX($CJ$81:$CJ$96,EO82)</f>
        <v>0</v>
      </c>
      <c r="FB82" s="36">
        <f>VALUE(INDEX($CK$81:$CK$96,EO82))</f>
        <v>0</v>
      </c>
      <c r="FC82" s="36">
        <f>INDEX($CL$81:$CL$96,EO82)</f>
        <v>0</v>
      </c>
      <c r="FD82" s="36">
        <f>INDEX($CM$81:$CM$96,EO82)</f>
        <v>0</v>
      </c>
      <c r="FE82" s="138">
        <f>VALUE(INDEX($CN$81:$CN$96,EO82))</f>
        <v>0</v>
      </c>
      <c r="FF82" s="36">
        <f>INDEX($CO$81:$CO$96,EO82)</f>
        <v>0</v>
      </c>
      <c r="FG82" s="149">
        <f>INDEX($CP$81:$CP$96,EO82)</f>
        <v>0</v>
      </c>
      <c r="FH82" s="36">
        <f>VALUE(INDEX($CQ$81:$CQ$96,EO82))</f>
        <v>0</v>
      </c>
      <c r="FI82" s="36">
        <f>INDEX($CR$81:$CR$96,EO82)</f>
        <v>0</v>
      </c>
      <c r="FJ82" s="36">
        <f>INDEX($CS$81:$CS$96,EO82)</f>
        <v>0</v>
      </c>
      <c r="FK82" s="138">
        <f>VALUE(INDEX($CT$81:$CT$96,EO82))</f>
        <v>0</v>
      </c>
      <c r="FL82" s="36">
        <f>INDEX($CU$81:$CU$96,EO82)</f>
        <v>0</v>
      </c>
      <c r="FM82" s="149">
        <f>INDEX($CV$81:$CV$96,EO82)</f>
        <v>0</v>
      </c>
      <c r="FS82" s="122">
        <f>EO82</f>
        <v>2</v>
      </c>
      <c r="FT82" s="138">
        <f>FS81</f>
        <v>1</v>
      </c>
      <c r="FU82" s="36">
        <f>IF(FT82=$EN$76,"",(IF(FT82=EP82,EQ82,IF(FT82=ES82,ET82,IF(FT82=EV82,EW82,IF(FT82=EY82,EZ82,IF(FT82=FB82,FC82,IF(FT82=FE82,FF82,IF(FT82=FH82,FI82,IF(FT82=FK82,FL82,""))))))))))</f>
        <v>0</v>
      </c>
      <c r="FV82" s="149">
        <f>IF(FT82=$EN$76,"",(IF(FT82=EP82,ER82,IF(FT82=ES82,EU82,IF(FT82=EV82,EX82,IF(FT82=EY82,FA82,IF(FT82=FB82,FD82,IF(FT82=FE82,FG82,IF(FT82=FH82,FJ82,IF(FT82=FK82,FM82,""))))))))))</f>
        <v>0</v>
      </c>
      <c r="FW82" s="138" t="str">
        <f>EN76</f>
        <v>VL</v>
      </c>
      <c r="FX82" s="36" t="str">
        <f>IF(FW82=$EN$76,"",(IF(FW82=EP82,EQ82,IF(FW82=ES82,ET82,IF(FW82=EV82,EW82,IF(FW82=EY82,EZ82,IF(FW82=FB82,FC82,IF(FW82=FE82,FF82,IF(FW82=FH82,FI82,IF(FW82=FK82,FL82,""))))))))))</f>
        <v/>
      </c>
      <c r="FY82" s="149" t="str">
        <f>IF(FW82=$EN$76,"",(IF(FW82=EP82,ER82,IF(FW82=ES82,EU82,IF(FW82=EV82,EX82,IF(FW82=EY82,FA82,IF(FW82=FB82,FD82,IF(FW82=FE82,FG82,IF(FW82=FH82,FJ82,IF(FW82=FK82,FM82,""))))))))))</f>
        <v/>
      </c>
      <c r="FZ82" s="36">
        <f>FS83</f>
        <v>3</v>
      </c>
      <c r="GA82" s="36">
        <f>IF(FZ82=$EN$76,"",(IF(FZ82=EP82,EQ82,IF(FZ82=ES82,ET82,IF(FZ82=EV82,EW82,IF(FZ82=EY82,EZ82,IF(FZ82=FB82,FC82,IF(FZ82=FE82,FF82,IF(FZ82=FH82,FI82,IF(FZ82=FK82,FL82,""))))))))))</f>
        <v>0</v>
      </c>
      <c r="GB82" s="149">
        <f>IF(FZ82=$EN$76,"",(IF(FZ82=EP82,ER82,IF(FZ82=ES82,EU82,IF(FZ82=EV82,EX82,IF(FZ82=EY82,FA82,IF(FZ82=FB82,FD82,IF(FZ82=FE82,FG82,IF(FZ82=FH82,FJ82,IF(FZ82=FK82,FM82,""))))))))))</f>
        <v>0</v>
      </c>
      <c r="GD82" s="138">
        <f t="shared" si="377"/>
        <v>0</v>
      </c>
      <c r="GE82" s="149">
        <f t="shared" si="377"/>
        <v>0</v>
      </c>
      <c r="GK82" s="288" t="str">
        <f>[1]List1!$A$24</f>
        <v>2. repas</v>
      </c>
      <c r="GL82" s="288"/>
      <c r="GN82" s="204"/>
      <c r="GO82" s="81"/>
      <c r="GP82" s="81"/>
      <c r="GQ82" s="198"/>
      <c r="GY82" s="183">
        <f t="shared" si="378"/>
        <v>3</v>
      </c>
      <c r="GZ82" s="122">
        <f t="shared" ref="GZ82:GZ96" si="395">GZ81+1</f>
        <v>3</v>
      </c>
      <c r="HB82" s="36" t="str">
        <f>IF($GV$77=1,(IF(GY82=$EL$81,"F",IF(GY82=$EL$82,"F",IF(GY82=$EL$83,"F",IF(GY82=$EL$97,"F",IF(GY82=$EL$98,"F",IF(GY82=$EL$99,"F",""))))))),"")</f>
        <v>F</v>
      </c>
      <c r="HC82" s="177">
        <f>GY81</f>
        <v>2</v>
      </c>
      <c r="HD82" s="122">
        <f>HD80+1</f>
        <v>2</v>
      </c>
      <c r="HF82" s="153" t="str">
        <f>HB81</f>
        <v>F</v>
      </c>
    </row>
    <row r="83" spans="1:214" ht="12.75" customHeight="1" thickTop="1" x14ac:dyDescent="0.25">
      <c r="C83" s="148"/>
      <c r="BU83" s="36">
        <f>BU82+1</f>
        <v>3</v>
      </c>
      <c r="BV83" s="36">
        <f>BV82+1</f>
        <v>3</v>
      </c>
      <c r="BX83" s="63">
        <f>D11</f>
        <v>3</v>
      </c>
      <c r="BY83" s="138">
        <f>IF(E11=$BQ$2,0,(IF(E11="",0,E11)))</f>
        <v>0</v>
      </c>
      <c r="BZ83" s="36">
        <f>F11</f>
        <v>0</v>
      </c>
      <c r="CA83" s="149">
        <f>F12</f>
        <v>0</v>
      </c>
      <c r="CB83" s="138">
        <f>IF(H11=$BQ$2,0,(IF(H11="",0,H11)))</f>
        <v>1</v>
      </c>
      <c r="CC83" s="36">
        <f>I11</f>
        <v>5</v>
      </c>
      <c r="CD83" s="149">
        <f>I12</f>
        <v>4</v>
      </c>
      <c r="CE83" s="138">
        <f>IF(K11=$BQ$2,0,(IF(K11="",0,K11)))</f>
        <v>2</v>
      </c>
      <c r="CF83" s="36">
        <f>L11</f>
        <v>5</v>
      </c>
      <c r="CG83" s="149">
        <f>L12</f>
        <v>4</v>
      </c>
      <c r="CH83" s="138">
        <f>IF(N11=$BQ$2,0,(IF(N11="",0,N11)))</f>
        <v>0</v>
      </c>
      <c r="CI83" s="36">
        <f>O11</f>
        <v>0</v>
      </c>
      <c r="CJ83" s="149">
        <f>O12</f>
        <v>0</v>
      </c>
      <c r="CK83" s="138">
        <f>IF(Q11=$BQ$2,0,(IF(Q11="",0,Q11)))</f>
        <v>0</v>
      </c>
      <c r="CL83" s="36">
        <f>R11</f>
        <v>0</v>
      </c>
      <c r="CM83" s="149">
        <f>R12</f>
        <v>0</v>
      </c>
      <c r="CN83" s="138">
        <f>IF(T11=$BQ$2,0,(IF(T11="",0,T11)))</f>
        <v>0</v>
      </c>
      <c r="CO83" s="36">
        <f>U11</f>
        <v>0</v>
      </c>
      <c r="CP83" s="149">
        <f>U12</f>
        <v>0</v>
      </c>
      <c r="CQ83" s="138">
        <f>IF(W11=$BQ$2,0,(IF(W11="",0,W11)))</f>
        <v>0</v>
      </c>
      <c r="CR83" s="36">
        <f>X11</f>
        <v>0</v>
      </c>
      <c r="CS83" s="149">
        <f>X12</f>
        <v>0</v>
      </c>
      <c r="CT83" s="138"/>
      <c r="CV83" s="149"/>
      <c r="DH83" s="36">
        <f t="shared" si="379"/>
        <v>96</v>
      </c>
      <c r="DI83" s="36">
        <f t="shared" si="380"/>
        <v>3</v>
      </c>
      <c r="DJ83" s="63">
        <f t="shared" si="375"/>
        <v>3</v>
      </c>
      <c r="DK83" s="36">
        <f t="shared" si="381"/>
        <v>3</v>
      </c>
      <c r="DL83" s="138">
        <f t="shared" si="382"/>
        <v>10</v>
      </c>
      <c r="DM83" s="149">
        <f t="shared" si="383"/>
        <v>8</v>
      </c>
      <c r="DN83" s="138" t="str">
        <f>IF(AD11="","",1)</f>
        <v/>
      </c>
      <c r="DP83" s="36">
        <f t="shared" si="384"/>
        <v>3</v>
      </c>
      <c r="DQ83" s="36">
        <f t="shared" si="385"/>
        <v>3</v>
      </c>
      <c r="DR83" s="36" t="str">
        <f>AC11</f>
        <v>F</v>
      </c>
      <c r="DS83" s="36">
        <f t="shared" si="386"/>
        <v>1</v>
      </c>
      <c r="DT83" s="36">
        <f t="shared" si="387"/>
        <v>0</v>
      </c>
      <c r="DU83" s="36">
        <f t="shared" si="388"/>
        <v>0</v>
      </c>
      <c r="DV83" s="36">
        <f t="shared" si="389"/>
        <v>7</v>
      </c>
      <c r="DW83" s="36">
        <f>IF(DQ83=$BK$2,0,(IF(BP11&gt;1,1,0)))</f>
        <v>0</v>
      </c>
      <c r="DX83" s="296">
        <f t="shared" si="390"/>
        <v>31070810096.030998</v>
      </c>
      <c r="DY83" s="296"/>
      <c r="DZ83" s="296"/>
      <c r="EA83" s="53">
        <f t="shared" si="391"/>
        <v>15</v>
      </c>
      <c r="EB83" s="53"/>
      <c r="EC83" s="296">
        <f t="shared" si="392"/>
        <v>20050000097.021</v>
      </c>
      <c r="ED83" s="296"/>
      <c r="EE83" s="296"/>
      <c r="EG83" s="36">
        <f t="shared" si="393"/>
        <v>15</v>
      </c>
      <c r="EJ83" s="36">
        <f t="shared" si="394"/>
        <v>2</v>
      </c>
      <c r="EL83" s="36">
        <f>EJ83</f>
        <v>2</v>
      </c>
      <c r="EM83" s="36" t="str">
        <f>AC11</f>
        <v>F</v>
      </c>
      <c r="EN83" s="36">
        <f t="shared" si="376"/>
        <v>3</v>
      </c>
      <c r="EO83" s="36">
        <f>VALUE(SMALL($EN$81:$EN$96,DI83))</f>
        <v>3</v>
      </c>
      <c r="EP83" s="142">
        <f>VALUE(INDEX($BY$81:$BY$96,EO83))</f>
        <v>0</v>
      </c>
      <c r="EQ83" s="83">
        <f>INDEX($BZ$81:$BZ$96,EO83)</f>
        <v>0</v>
      </c>
      <c r="ER83" s="83">
        <f>INDEX($CA$81:$CA$96,EO83)</f>
        <v>0</v>
      </c>
      <c r="ES83" s="142">
        <f>VALUE(INDEX($CB$81:$CB$96,EO83))</f>
        <v>1</v>
      </c>
      <c r="ET83" s="83">
        <f>INDEX($CC$81:$CC$96,EO83)</f>
        <v>5</v>
      </c>
      <c r="EU83" s="143">
        <f>INDEX($CD$81:$CD$96,EO83)</f>
        <v>4</v>
      </c>
      <c r="EV83" s="83">
        <f>VALUE(INDEX($CE$81:$CE$96,EO83))</f>
        <v>2</v>
      </c>
      <c r="EW83" s="83">
        <f>INDEX($CF$81:$CF$96,EO83)</f>
        <v>5</v>
      </c>
      <c r="EX83" s="83">
        <f>INDEX($CG$81:$CG$96,EO83)</f>
        <v>4</v>
      </c>
      <c r="EY83" s="142">
        <f>VALUE(INDEX($CH$81:$CH$96,EO83))</f>
        <v>0</v>
      </c>
      <c r="EZ83" s="83">
        <f>INDEX($CI$81:$CI$96,EO83)</f>
        <v>0</v>
      </c>
      <c r="FA83" s="143">
        <f>INDEX($CJ$81:$CJ$96,EO83)</f>
        <v>0</v>
      </c>
      <c r="FB83" s="83">
        <f>VALUE(INDEX($CK$81:$CK$96,EO83))</f>
        <v>0</v>
      </c>
      <c r="FC83" s="83">
        <f>INDEX($CL$81:$CL$96,EO83)</f>
        <v>0</v>
      </c>
      <c r="FD83" s="83">
        <f>INDEX($CM$81:$CM$96,EO83)</f>
        <v>0</v>
      </c>
      <c r="FE83" s="142">
        <f>VALUE(INDEX($CN$81:$CN$96,EO83))</f>
        <v>0</v>
      </c>
      <c r="FF83" s="83">
        <f>INDEX($CO$81:$CO$96,EO83)</f>
        <v>0</v>
      </c>
      <c r="FG83" s="143">
        <f>INDEX($CP$81:$CP$96,EO83)</f>
        <v>0</v>
      </c>
      <c r="FH83" s="83">
        <f>VALUE(INDEX($CQ$81:$CQ$96,EO83))</f>
        <v>0</v>
      </c>
      <c r="FI83" s="83">
        <f>INDEX($CR$81:$CR$96,EO83)</f>
        <v>0</v>
      </c>
      <c r="FJ83" s="83">
        <f>INDEX($CS$81:$CS$96,EO83)</f>
        <v>0</v>
      </c>
      <c r="FK83" s="142">
        <f>VALUE(INDEX($CT$81:$CT$96,EO83))</f>
        <v>0</v>
      </c>
      <c r="FL83" s="83">
        <f>INDEX($CU$81:$CU$96,EO83)</f>
        <v>0</v>
      </c>
      <c r="FM83" s="143">
        <f>INDEX($CV$81:$CV$96,EO83)</f>
        <v>0</v>
      </c>
      <c r="FS83" s="123">
        <f>EO83</f>
        <v>3</v>
      </c>
      <c r="FT83" s="142" t="str">
        <f>EN76</f>
        <v>VL</v>
      </c>
      <c r="FU83" s="83" t="str">
        <f>IF(FT83=$EN$76,"",(IF(FT83=EP83,EQ83,IF(FT83=ES83,ET83,IF(FT83=EV83,EW83,IF(FT83=EY83,EZ83,IF(FT83=FB83,FC83,IF(FT83=FE83,FF83,IF(FT83=FH83,FI83,IF(FT83=FK83,FL83,""))))))))))</f>
        <v/>
      </c>
      <c r="FV83" s="143" t="str">
        <f>IF(FT83=$EN$76,"",(IF(FT83=EP83,ER83,IF(FT83=ES83,EU83,IF(FT83=EV83,EX83,IF(FT83=EY83,FA83,IF(FT83=FB83,FD83,IF(FT83=FE83,FG83,IF(FT83=FH83,FJ83,IF(FT83=FK83,FM83,""))))))))))</f>
        <v/>
      </c>
      <c r="FW83" s="142">
        <f>FS81</f>
        <v>1</v>
      </c>
      <c r="FX83" s="83">
        <f>IF(FW83=$EN$76,"",(IF(FW83=EP83,EQ83,IF(FW83=ES83,ET83,IF(FW83=EV83,EW83,IF(FW83=EY83,EZ83,IF(FW83=FB83,FC83,IF(FW83=FE83,FF83,IF(FW83=FH83,FI83,IF(FW83=FK83,FL83,""))))))))))</f>
        <v>5</v>
      </c>
      <c r="FY83" s="143">
        <f>IF(FW83=$EN$76,"",(IF(FW83=EP83,ER83,IF(FW83=ES83,EU83,IF(FW83=EV83,EX83,IF(FW83=EY83,FA83,IF(FW83=FB83,FD83,IF(FW83=FE83,FG83,IF(FW83=FH83,FJ83,IF(FW83=FK83,FM83,""))))))))))</f>
        <v>4</v>
      </c>
      <c r="FZ83" s="83">
        <f>FS82</f>
        <v>2</v>
      </c>
      <c r="GA83" s="83">
        <f>IF(FZ83=$EN$76,"",(IF(FZ83=EP83,EQ83,IF(FZ83=ES83,ET83,IF(FZ83=EV83,EW83,IF(FZ83=EY83,EZ83,IF(FZ83=FB83,FC83,IF(FZ83=FE83,FF83,IF(FZ83=FH83,FI83,IF(FZ83=FK83,FL83,""))))))))))</f>
        <v>5</v>
      </c>
      <c r="GB83" s="143">
        <f>IF(FZ83=$EN$76,"",(IF(FZ83=EP83,ER83,IF(FZ83=ES83,EU83,IF(FZ83=EV83,EX83,IF(FZ83=EY83,FA83,IF(FZ83=FB83,FD83,IF(FZ83=FE83,FG83,IF(FZ83=FH83,FJ83,IF(FZ83=FK83,FM83,""))))))))))</f>
        <v>4</v>
      </c>
      <c r="GD83" s="142">
        <f t="shared" si="377"/>
        <v>10</v>
      </c>
      <c r="GE83" s="143">
        <f t="shared" si="377"/>
        <v>8</v>
      </c>
      <c r="GY83" s="183" t="str">
        <f t="shared" si="378"/>
        <v/>
      </c>
      <c r="GZ83" s="122">
        <f t="shared" si="395"/>
        <v>4</v>
      </c>
      <c r="HB83" s="36" t="str">
        <f t="shared" ref="HB83:HB111" si="396">IF($GV$77=1,(IF(GY83=$EL$81,"F",IF(GY83=$EL$82,"F",IF(GY83=$EL$83,"F",IF(GY83=$EL$97,"F",IF(GY83=$EL$98,"F",IF(GY83=$EL$99,"F",""))))))),"")</f>
        <v/>
      </c>
      <c r="HC83" s="177"/>
      <c r="HD83" s="122"/>
      <c r="HF83" s="153"/>
    </row>
    <row r="84" spans="1:214" ht="12.75" customHeight="1" x14ac:dyDescent="0.25">
      <c r="C84" s="148"/>
      <c r="BU84" s="36">
        <f t="shared" ref="BU84:BU107" si="397">BU83+1</f>
        <v>4</v>
      </c>
      <c r="BV84" s="36">
        <f t="shared" ref="BV84:BV96" si="398">BV83+1</f>
        <v>4</v>
      </c>
      <c r="BX84" s="63" t="str">
        <f>D13</f>
        <v/>
      </c>
      <c r="BY84" s="138">
        <f>IF(E13=$BQ$2,0,(IF(E13="",0,E13)))</f>
        <v>0</v>
      </c>
      <c r="BZ84" s="36">
        <f>F13</f>
        <v>0</v>
      </c>
      <c r="CA84" s="149">
        <f>F14</f>
        <v>0</v>
      </c>
      <c r="CB84" s="138">
        <f>IF(H13=$BQ$2,0,(IF(H13="",0,H13)))</f>
        <v>0</v>
      </c>
      <c r="CC84" s="36">
        <f>I13</f>
        <v>0</v>
      </c>
      <c r="CD84" s="149">
        <f>I14</f>
        <v>0</v>
      </c>
      <c r="CE84" s="138">
        <f>IF(K13=$BQ$2,0,(IF(K13="",0,K13)))</f>
        <v>0</v>
      </c>
      <c r="CF84" s="36">
        <f>L13</f>
        <v>0</v>
      </c>
      <c r="CG84" s="149">
        <f>L14</f>
        <v>0</v>
      </c>
      <c r="CH84" s="138">
        <f>IF(N13=$BQ$2,0,(IF(N13="",0,N13)))</f>
        <v>0</v>
      </c>
      <c r="CI84" s="36">
        <f>O13</f>
        <v>0</v>
      </c>
      <c r="CJ84" s="149">
        <f>O14</f>
        <v>0</v>
      </c>
      <c r="CK84" s="138">
        <f>IF(Q13=$BQ$2,0,(IF(Q13="",0,Q13)))</f>
        <v>0</v>
      </c>
      <c r="CL84" s="36">
        <f>R13</f>
        <v>0</v>
      </c>
      <c r="CM84" s="149">
        <f>R14</f>
        <v>0</v>
      </c>
      <c r="CN84" s="138">
        <f>IF(T13=$BQ$2,0,(IF(T13="",0,T13)))</f>
        <v>0</v>
      </c>
      <c r="CO84" s="36">
        <f>U13</f>
        <v>0</v>
      </c>
      <c r="CP84" s="149">
        <f>U14</f>
        <v>0</v>
      </c>
      <c r="CQ84" s="138">
        <f>IF(W13=$BQ$2,0,(IF(W13="",0,W13)))</f>
        <v>0</v>
      </c>
      <c r="CR84" s="36">
        <f>X13</f>
        <v>0</v>
      </c>
      <c r="CS84" s="149">
        <f>X14</f>
        <v>0</v>
      </c>
      <c r="CT84" s="138"/>
      <c r="CV84" s="149"/>
      <c r="DH84" s="36">
        <f t="shared" si="379"/>
        <v>99</v>
      </c>
      <c r="DI84" s="36">
        <f t="shared" si="380"/>
        <v>4</v>
      </c>
      <c r="DJ84" s="63" t="str">
        <f t="shared" si="375"/>
        <v/>
      </c>
      <c r="DK84" s="36">
        <f t="shared" si="381"/>
        <v>4</v>
      </c>
      <c r="DL84" s="138">
        <f t="shared" si="382"/>
        <v>0</v>
      </c>
      <c r="DM84" s="149">
        <f t="shared" si="383"/>
        <v>0</v>
      </c>
      <c r="DN84" s="138" t="str">
        <f>IF(AD13="","",1)</f>
        <v/>
      </c>
      <c r="DP84" s="36" t="str">
        <f t="shared" si="384"/>
        <v/>
      </c>
      <c r="DQ84" s="36">
        <f t="shared" si="385"/>
        <v>999</v>
      </c>
      <c r="DR84" s="36" t="str">
        <f>AC13</f>
        <v/>
      </c>
      <c r="DS84" s="36">
        <f t="shared" si="386"/>
        <v>0</v>
      </c>
      <c r="DT84" s="36">
        <f t="shared" si="387"/>
        <v>0</v>
      </c>
      <c r="DU84" s="36">
        <f t="shared" si="388"/>
        <v>0</v>
      </c>
      <c r="DV84" s="36">
        <f t="shared" si="389"/>
        <v>7</v>
      </c>
      <c r="DW84" s="36">
        <f>IF(DQ84=$BK$2,0,(IF(BP13&gt;1,1,0)))</f>
        <v>0</v>
      </c>
      <c r="DX84" s="296">
        <f t="shared" si="390"/>
        <v>10000000000.000999</v>
      </c>
      <c r="DY84" s="296"/>
      <c r="DZ84" s="296"/>
      <c r="EA84" s="53">
        <f t="shared" si="391"/>
        <v>15</v>
      </c>
      <c r="EB84" s="53"/>
      <c r="EC84" s="296">
        <f t="shared" si="392"/>
        <v>10000000000.000999</v>
      </c>
      <c r="ED84" s="296"/>
      <c r="EE84" s="296"/>
      <c r="EG84" s="36">
        <f t="shared" si="393"/>
        <v>15</v>
      </c>
      <c r="EJ84" s="36">
        <f t="shared" si="394"/>
        <v>0</v>
      </c>
      <c r="EM84" s="36" t="str">
        <f>AC13</f>
        <v/>
      </c>
      <c r="EN84" s="36">
        <f t="shared" si="376"/>
        <v>999</v>
      </c>
      <c r="GY84" s="183" t="str">
        <f t="shared" si="378"/>
        <v/>
      </c>
      <c r="GZ84" s="122">
        <f t="shared" si="395"/>
        <v>5</v>
      </c>
      <c r="HB84" s="36" t="str">
        <f t="shared" si="396"/>
        <v/>
      </c>
      <c r="HC84" s="177">
        <f>GY82</f>
        <v>3</v>
      </c>
      <c r="HD84" s="122">
        <f>HD82+1</f>
        <v>3</v>
      </c>
      <c r="HF84" s="153" t="str">
        <f>HB82</f>
        <v>F</v>
      </c>
    </row>
    <row r="85" spans="1:214" ht="12.75" hidden="1" customHeight="1" x14ac:dyDescent="0.25">
      <c r="AF85" s="36">
        <f>BK2</f>
        <v>999</v>
      </c>
      <c r="AG85" s="36"/>
      <c r="BU85" s="36">
        <f t="shared" si="397"/>
        <v>5</v>
      </c>
      <c r="BV85" s="36">
        <f t="shared" si="398"/>
        <v>5</v>
      </c>
      <c r="BX85" s="63" t="str">
        <f>D15</f>
        <v/>
      </c>
      <c r="BY85" s="138">
        <f>IF(E15=$BQ$2,0,(IF(E15="",0,E15)))</f>
        <v>0</v>
      </c>
      <c r="BZ85" s="36">
        <f>F15</f>
        <v>0</v>
      </c>
      <c r="CA85" s="149">
        <f>F16</f>
        <v>0</v>
      </c>
      <c r="CB85" s="138">
        <f>IF(H15=$BQ$2,0,(IF(H15="",0,H15)))</f>
        <v>0</v>
      </c>
      <c r="CC85" s="36">
        <f>I15</f>
        <v>0</v>
      </c>
      <c r="CD85" s="149">
        <f>I16</f>
        <v>0</v>
      </c>
      <c r="CE85" s="138">
        <f>IF(K15=$BQ$2,0,(IF(K15="",0,K15)))</f>
        <v>0</v>
      </c>
      <c r="CF85" s="36">
        <f>L15</f>
        <v>0</v>
      </c>
      <c r="CG85" s="149">
        <f>L16</f>
        <v>0</v>
      </c>
      <c r="CH85" s="138">
        <f>IF(N15=$BQ$2,0,(IF(N15="",0,N15)))</f>
        <v>0</v>
      </c>
      <c r="CI85" s="36">
        <f>O15</f>
        <v>0</v>
      </c>
      <c r="CJ85" s="149">
        <f>O16</f>
        <v>0</v>
      </c>
      <c r="CK85" s="138">
        <f>IF(Q15=$BQ$2,0,(IF(Q15="",0,Q15)))</f>
        <v>0</v>
      </c>
      <c r="CL85" s="36">
        <f>R15</f>
        <v>0</v>
      </c>
      <c r="CM85" s="149">
        <f>R16</f>
        <v>0</v>
      </c>
      <c r="CN85" s="138">
        <f>IF(T15=$BQ$2,0,(IF(T15="",0,T15)))</f>
        <v>0</v>
      </c>
      <c r="CO85" s="36">
        <f>U15</f>
        <v>0</v>
      </c>
      <c r="CP85" s="149">
        <f>U16</f>
        <v>0</v>
      </c>
      <c r="CQ85" s="138">
        <f>IF(W15=$BQ$2,0,(IF(W15="",0,W15)))</f>
        <v>0</v>
      </c>
      <c r="CR85" s="36">
        <f>X15</f>
        <v>0</v>
      </c>
      <c r="CS85" s="149">
        <f>X16</f>
        <v>0</v>
      </c>
      <c r="CT85" s="138"/>
      <c r="CV85" s="149"/>
      <c r="DH85" s="36">
        <f t="shared" si="379"/>
        <v>99</v>
      </c>
      <c r="DI85" s="36">
        <f t="shared" si="380"/>
        <v>5</v>
      </c>
      <c r="DJ85" s="63" t="str">
        <f t="shared" si="375"/>
        <v/>
      </c>
      <c r="DK85" s="36">
        <f t="shared" si="381"/>
        <v>5</v>
      </c>
      <c r="DL85" s="138">
        <f t="shared" si="382"/>
        <v>0</v>
      </c>
      <c r="DM85" s="149">
        <f t="shared" si="383"/>
        <v>0</v>
      </c>
      <c r="DN85" s="138" t="str">
        <f>IF(AD15="","",1)</f>
        <v/>
      </c>
      <c r="DP85" s="36" t="str">
        <f t="shared" si="384"/>
        <v/>
      </c>
      <c r="DQ85" s="36">
        <f t="shared" si="385"/>
        <v>999</v>
      </c>
      <c r="DR85" s="36" t="str">
        <f>AC15</f>
        <v/>
      </c>
      <c r="DS85" s="36">
        <f t="shared" si="386"/>
        <v>0</v>
      </c>
      <c r="DT85" s="36">
        <f t="shared" si="387"/>
        <v>0</v>
      </c>
      <c r="DU85" s="36">
        <f t="shared" si="388"/>
        <v>0</v>
      </c>
      <c r="DV85" s="36">
        <f t="shared" si="389"/>
        <v>7</v>
      </c>
      <c r="DW85" s="36">
        <f>IF(DQ85=$BK$2,0,(IF(BP15&gt;1,1,0)))</f>
        <v>0</v>
      </c>
      <c r="DX85" s="296">
        <f t="shared" si="390"/>
        <v>10000000000.000999</v>
      </c>
      <c r="DY85" s="296"/>
      <c r="DZ85" s="296"/>
      <c r="EA85" s="53">
        <f t="shared" si="391"/>
        <v>15</v>
      </c>
      <c r="EB85" s="53"/>
      <c r="EC85" s="296">
        <f t="shared" si="392"/>
        <v>10000000000.000999</v>
      </c>
      <c r="ED85" s="296"/>
      <c r="EE85" s="296"/>
      <c r="EG85" s="36">
        <f t="shared" si="393"/>
        <v>15</v>
      </c>
      <c r="EJ85" s="36">
        <f t="shared" si="394"/>
        <v>0</v>
      </c>
      <c r="EM85" s="36" t="str">
        <f>AC15</f>
        <v/>
      </c>
      <c r="EN85" s="36">
        <f t="shared" si="376"/>
        <v>999</v>
      </c>
      <c r="FU85" s="36">
        <f>IF(FU81="",0,1)</f>
        <v>1</v>
      </c>
      <c r="FX85" s="36">
        <f>IF(FX81="",0,1)</f>
        <v>1</v>
      </c>
      <c r="GA85" s="36">
        <f>IF(GA81="",0,1)</f>
        <v>0</v>
      </c>
      <c r="GH85" s="36">
        <f>IF(GD89=1,GH79,IF(GD89=2,GH80,IF(GD89=3,GH81,0)))</f>
        <v>0</v>
      </c>
      <c r="GI85" s="36">
        <f>IF(GD89=1,GI79,IF(GD89=2,GI80,IF(GD89=3,GI81,0)))</f>
        <v>0</v>
      </c>
      <c r="GY85" s="183" t="str">
        <f t="shared" si="378"/>
        <v/>
      </c>
      <c r="GZ85" s="122">
        <f t="shared" si="395"/>
        <v>6</v>
      </c>
      <c r="HB85" s="36" t="str">
        <f t="shared" si="396"/>
        <v/>
      </c>
      <c r="HC85" s="177"/>
      <c r="HD85" s="122"/>
      <c r="HF85" s="153"/>
    </row>
    <row r="86" spans="1:214" ht="12.75" hidden="1" customHeight="1" x14ac:dyDescent="0.25">
      <c r="BU86" s="36">
        <f t="shared" si="397"/>
        <v>6</v>
      </c>
      <c r="BV86" s="36">
        <f t="shared" si="398"/>
        <v>6</v>
      </c>
      <c r="BX86" s="63" t="str">
        <f>D17</f>
        <v/>
      </c>
      <c r="BY86" s="138">
        <f>IF(E17=$BQ$2,0,(IF(E17="",0,E17)))</f>
        <v>0</v>
      </c>
      <c r="BZ86" s="36">
        <f>F17</f>
        <v>0</v>
      </c>
      <c r="CA86" s="149">
        <f>F18</f>
        <v>0</v>
      </c>
      <c r="CB86" s="138">
        <f>IF(H17=$BQ$2,0,(IF(H17="",0,H17)))</f>
        <v>0</v>
      </c>
      <c r="CC86" s="36">
        <f>I17</f>
        <v>0</v>
      </c>
      <c r="CD86" s="149">
        <f>I18</f>
        <v>0</v>
      </c>
      <c r="CE86" s="138">
        <f>IF(K17=$BQ$2,0,(IF(K17="",0,K17)))</f>
        <v>0</v>
      </c>
      <c r="CF86" s="36">
        <f>L17</f>
        <v>0</v>
      </c>
      <c r="CG86" s="149">
        <f>L18</f>
        <v>0</v>
      </c>
      <c r="CH86" s="138">
        <f>IF(N17=$BQ$2,0,(IF(N17="",0,N17)))</f>
        <v>0</v>
      </c>
      <c r="CI86" s="36">
        <f>O17</f>
        <v>0</v>
      </c>
      <c r="CJ86" s="149">
        <f>O18</f>
        <v>0</v>
      </c>
      <c r="CK86" s="138">
        <f>IF(Q17=$BQ$2,0,(IF(Q17="",0,Q17)))</f>
        <v>0</v>
      </c>
      <c r="CL86" s="36">
        <f>R17</f>
        <v>0</v>
      </c>
      <c r="CM86" s="149">
        <f>R18</f>
        <v>0</v>
      </c>
      <c r="CN86" s="138">
        <f>IF(T17=$BQ$2,0,(IF(T17="",0,T17)))</f>
        <v>0</v>
      </c>
      <c r="CO86" s="36">
        <f>U17</f>
        <v>0</v>
      </c>
      <c r="CP86" s="149">
        <f>U18</f>
        <v>0</v>
      </c>
      <c r="CQ86" s="138">
        <f>IF(W17=$BQ$2,0,(IF(W17="",0,W17)))</f>
        <v>0</v>
      </c>
      <c r="CR86" s="36">
        <f>X17</f>
        <v>0</v>
      </c>
      <c r="CS86" s="149">
        <f>X18</f>
        <v>0</v>
      </c>
      <c r="CT86" s="138"/>
      <c r="CV86" s="149"/>
      <c r="DH86" s="36">
        <f t="shared" si="379"/>
        <v>99</v>
      </c>
      <c r="DI86" s="36">
        <f t="shared" si="380"/>
        <v>6</v>
      </c>
      <c r="DJ86" s="63" t="str">
        <f t="shared" si="375"/>
        <v/>
      </c>
      <c r="DK86" s="36">
        <f t="shared" si="381"/>
        <v>6</v>
      </c>
      <c r="DL86" s="138">
        <f t="shared" si="382"/>
        <v>0</v>
      </c>
      <c r="DM86" s="149">
        <f t="shared" si="383"/>
        <v>0</v>
      </c>
      <c r="DN86" s="138" t="str">
        <f>IF(AD17="","",1)</f>
        <v/>
      </c>
      <c r="DP86" s="36" t="str">
        <f t="shared" si="384"/>
        <v/>
      </c>
      <c r="DQ86" s="36">
        <f t="shared" si="385"/>
        <v>999</v>
      </c>
      <c r="DR86" s="36" t="str">
        <f>AC17</f>
        <v/>
      </c>
      <c r="DS86" s="36">
        <f t="shared" si="386"/>
        <v>0</v>
      </c>
      <c r="DT86" s="36">
        <f t="shared" si="387"/>
        <v>0</v>
      </c>
      <c r="DU86" s="36">
        <f t="shared" si="388"/>
        <v>0</v>
      </c>
      <c r="DV86" s="36">
        <f t="shared" si="389"/>
        <v>7</v>
      </c>
      <c r="DW86" s="36">
        <f>IF(DQ86=$BK$2,0,(IF(BP17&gt;1,1,0)))</f>
        <v>0</v>
      </c>
      <c r="DX86" s="296">
        <f t="shared" si="390"/>
        <v>10000000000.000999</v>
      </c>
      <c r="DY86" s="296"/>
      <c r="DZ86" s="296"/>
      <c r="EA86" s="53">
        <f t="shared" si="391"/>
        <v>15</v>
      </c>
      <c r="EB86" s="53"/>
      <c r="EC86" s="296">
        <f t="shared" si="392"/>
        <v>10000000000.000999</v>
      </c>
      <c r="ED86" s="296"/>
      <c r="EE86" s="296"/>
      <c r="EG86" s="36">
        <f t="shared" si="393"/>
        <v>15</v>
      </c>
      <c r="EJ86" s="36">
        <f t="shared" si="394"/>
        <v>0</v>
      </c>
      <c r="EM86" s="36" t="str">
        <f>AC17</f>
        <v/>
      </c>
      <c r="EN86" s="36">
        <f t="shared" si="376"/>
        <v>999</v>
      </c>
      <c r="FU86" s="36">
        <f>IF(FU82="",0,1)</f>
        <v>1</v>
      </c>
      <c r="FX86" s="36">
        <f>IF(FX82="",0,1)</f>
        <v>0</v>
      </c>
      <c r="GA86" s="36">
        <f>IF(GA82="",0,1)</f>
        <v>1</v>
      </c>
      <c r="GY86" s="183" t="str">
        <f t="shared" si="378"/>
        <v/>
      </c>
      <c r="GZ86" s="122">
        <f t="shared" si="395"/>
        <v>7</v>
      </c>
      <c r="HB86" s="36" t="str">
        <f>IF($GV$77=1,(IF(GY86=$EL$81,"F",IF(GY86=$EL$82,"F",IF(GY86=$EL$83,"F",IF(GY86=$EL$97,"F",IF(GY86=$EL$98,"F",IF(GY86=$EL$99,"F",""))))))),"")</f>
        <v/>
      </c>
      <c r="HC86" s="177" t="str">
        <f>GY83</f>
        <v/>
      </c>
      <c r="HD86" s="122">
        <f>HD84+1</f>
        <v>4</v>
      </c>
      <c r="HF86" s="153" t="str">
        <f>HB83</f>
        <v/>
      </c>
    </row>
    <row r="87" spans="1:214" ht="12.75" hidden="1" customHeight="1" x14ac:dyDescent="0.25">
      <c r="AH87" s="288" t="str">
        <f t="shared" ref="AH87:AH104" si="399">AH5</f>
        <v>3. kolo</v>
      </c>
      <c r="AI87" s="288"/>
      <c r="AJ87" s="288"/>
      <c r="AM87" s="288" t="str">
        <f t="shared" ref="AM87:AM104" si="400">AM5</f>
        <v>4. kolo</v>
      </c>
      <c r="AN87" s="288"/>
      <c r="AO87" s="288"/>
      <c r="AR87" s="288" t="str">
        <f t="shared" ref="AR87:AR104" si="401">AR5</f>
        <v>5. kolo</v>
      </c>
      <c r="AS87" s="288"/>
      <c r="AT87" s="288"/>
      <c r="AW87" s="288" t="str">
        <f t="shared" ref="AW87:AW104" si="402">AW5</f>
        <v>6. kolo</v>
      </c>
      <c r="AX87" s="288"/>
      <c r="AY87" s="288"/>
      <c r="BB87" s="288" t="str">
        <f t="shared" ref="BB87:BB104" si="403">BB5</f>
        <v>7. kolo</v>
      </c>
      <c r="BC87" s="288"/>
      <c r="BD87" s="288"/>
      <c r="BU87" s="36">
        <f t="shared" si="397"/>
        <v>7</v>
      </c>
      <c r="BV87" s="36">
        <f t="shared" si="398"/>
        <v>7</v>
      </c>
      <c r="BX87" s="63" t="str">
        <f>D19</f>
        <v/>
      </c>
      <c r="BY87" s="138">
        <f>IF(E19=$BQ$2,0,(IF(E19="",0,E19)))</f>
        <v>0</v>
      </c>
      <c r="BZ87" s="36">
        <f>F19</f>
        <v>0</v>
      </c>
      <c r="CA87" s="149">
        <f>F20</f>
        <v>0</v>
      </c>
      <c r="CB87" s="138">
        <f>IF(H19=$BQ$2,0,(IF(H19="",0,H19)))</f>
        <v>0</v>
      </c>
      <c r="CC87" s="36">
        <f>I19</f>
        <v>0</v>
      </c>
      <c r="CD87" s="149">
        <f>I20</f>
        <v>0</v>
      </c>
      <c r="CE87" s="138">
        <f>IF(K19=$BQ$2,0,(IF(K19="",0,K19)))</f>
        <v>0</v>
      </c>
      <c r="CF87" s="36">
        <f>L19</f>
        <v>0</v>
      </c>
      <c r="CG87" s="149">
        <f>L20</f>
        <v>0</v>
      </c>
      <c r="CH87" s="138">
        <f>IF(N19=$BQ$2,0,(IF(N19="",0,N19)))</f>
        <v>0</v>
      </c>
      <c r="CI87" s="36">
        <f>O19</f>
        <v>0</v>
      </c>
      <c r="CJ87" s="149">
        <f>O20</f>
        <v>0</v>
      </c>
      <c r="CK87" s="138">
        <f>IF(Q19=$BQ$2,0,(IF(Q19="",0,Q19)))</f>
        <v>0</v>
      </c>
      <c r="CL87" s="36">
        <f>R19</f>
        <v>0</v>
      </c>
      <c r="CM87" s="149">
        <f>R20</f>
        <v>0</v>
      </c>
      <c r="CN87" s="138">
        <f>IF(T19=$BQ$2,0,(IF(T19="",0,T19)))</f>
        <v>0</v>
      </c>
      <c r="CO87" s="36">
        <f>U19</f>
        <v>0</v>
      </c>
      <c r="CP87" s="149">
        <f>U20</f>
        <v>0</v>
      </c>
      <c r="CQ87" s="138">
        <f>IF(W19=$BQ$2,0,(IF(W19="",0,W19)))</f>
        <v>0</v>
      </c>
      <c r="CR87" s="36">
        <f>X19</f>
        <v>0</v>
      </c>
      <c r="CS87" s="149">
        <f>X20</f>
        <v>0</v>
      </c>
      <c r="CT87" s="138"/>
      <c r="CV87" s="149"/>
      <c r="DH87" s="36">
        <f t="shared" si="379"/>
        <v>99</v>
      </c>
      <c r="DI87" s="36">
        <f t="shared" si="380"/>
        <v>7</v>
      </c>
      <c r="DJ87" s="63" t="str">
        <f t="shared" si="375"/>
        <v/>
      </c>
      <c r="DK87" s="36">
        <f t="shared" si="381"/>
        <v>7</v>
      </c>
      <c r="DL87" s="138">
        <f t="shared" si="382"/>
        <v>0</v>
      </c>
      <c r="DM87" s="149">
        <f t="shared" si="383"/>
        <v>0</v>
      </c>
      <c r="DN87" s="138" t="str">
        <f>IF(AD19="","",1)</f>
        <v/>
      </c>
      <c r="DP87" s="36" t="str">
        <f t="shared" si="384"/>
        <v/>
      </c>
      <c r="DQ87" s="36">
        <f t="shared" si="385"/>
        <v>999</v>
      </c>
      <c r="DR87" s="36" t="str">
        <f>AC19</f>
        <v/>
      </c>
      <c r="DS87" s="36">
        <f t="shared" si="386"/>
        <v>0</v>
      </c>
      <c r="DT87" s="36">
        <f t="shared" si="387"/>
        <v>0</v>
      </c>
      <c r="DU87" s="36">
        <f t="shared" si="388"/>
        <v>0</v>
      </c>
      <c r="DV87" s="36">
        <f t="shared" si="389"/>
        <v>7</v>
      </c>
      <c r="DW87" s="36">
        <f>IF(DQ87=$BK$2,0,(IF(BP19&gt;1,1,0)))</f>
        <v>0</v>
      </c>
      <c r="DX87" s="296">
        <f t="shared" si="390"/>
        <v>10000000000.000999</v>
      </c>
      <c r="DY87" s="296"/>
      <c r="DZ87" s="296"/>
      <c r="EA87" s="53">
        <f t="shared" si="391"/>
        <v>15</v>
      </c>
      <c r="EB87" s="53"/>
      <c r="EC87" s="296">
        <f t="shared" si="392"/>
        <v>10000000000.000999</v>
      </c>
      <c r="ED87" s="296"/>
      <c r="EE87" s="296"/>
      <c r="EG87" s="36">
        <f t="shared" si="393"/>
        <v>15</v>
      </c>
      <c r="EJ87" s="36">
        <f t="shared" si="394"/>
        <v>0</v>
      </c>
      <c r="EM87" s="36" t="str">
        <f>AC19</f>
        <v/>
      </c>
      <c r="EN87" s="36">
        <f t="shared" si="376"/>
        <v>999</v>
      </c>
      <c r="FU87" s="36">
        <f>IF(FU83="",0,1)</f>
        <v>0</v>
      </c>
      <c r="FX87" s="36">
        <f>IF(FX83="",0,1)</f>
        <v>1</v>
      </c>
      <c r="GA87" s="36">
        <f>IF(GA83="",0,1)</f>
        <v>1</v>
      </c>
      <c r="GY87" s="183" t="str">
        <f t="shared" si="378"/>
        <v/>
      </c>
      <c r="GZ87" s="122">
        <f t="shared" si="395"/>
        <v>8</v>
      </c>
      <c r="HB87" s="36" t="str">
        <f t="shared" si="396"/>
        <v/>
      </c>
      <c r="HC87" s="177"/>
      <c r="HD87" s="122"/>
      <c r="HF87" s="153"/>
    </row>
    <row r="88" spans="1:214" ht="12.75" hidden="1" customHeight="1" x14ac:dyDescent="0.25">
      <c r="AF88" s="184"/>
      <c r="AH88" s="36" t="str">
        <f t="shared" si="399"/>
        <v>los</v>
      </c>
      <c r="AI88" s="67" t="str">
        <f t="shared" ref="AI88:AI104" si="404">AI6</f>
        <v>soupeř</v>
      </c>
      <c r="AM88" s="36" t="str">
        <f t="shared" si="400"/>
        <v>los</v>
      </c>
      <c r="AN88" s="67" t="str">
        <f t="shared" ref="AN88:AN104" si="405">AN6</f>
        <v>soupeř</v>
      </c>
      <c r="AR88" s="36" t="str">
        <f t="shared" si="401"/>
        <v/>
      </c>
      <c r="AS88" s="67" t="str">
        <f t="shared" ref="AS88:AS104" si="406">AS6</f>
        <v/>
      </c>
      <c r="AW88" s="36" t="str">
        <f t="shared" si="402"/>
        <v/>
      </c>
      <c r="AX88" s="67" t="str">
        <f t="shared" ref="AX88:AX104" si="407">AX6</f>
        <v/>
      </c>
      <c r="BB88" s="36" t="str">
        <f t="shared" si="403"/>
        <v/>
      </c>
      <c r="BC88" s="67" t="str">
        <f t="shared" ref="BC88:BC104" si="408">BC6</f>
        <v/>
      </c>
      <c r="BU88" s="36">
        <f t="shared" si="397"/>
        <v>8</v>
      </c>
      <c r="BV88" s="36">
        <f t="shared" si="398"/>
        <v>8</v>
      </c>
      <c r="BX88" s="63" t="str">
        <f>D21</f>
        <v/>
      </c>
      <c r="BY88" s="138">
        <f>IF(E21=$BQ$2,0,(IF(E21="",0,E21)))</f>
        <v>0</v>
      </c>
      <c r="BZ88" s="36">
        <f>F21</f>
        <v>0</v>
      </c>
      <c r="CA88" s="149">
        <f>F22</f>
        <v>0</v>
      </c>
      <c r="CB88" s="138">
        <f>IF(H21=$BQ$2,0,(IF(H21="",0,H21)))</f>
        <v>0</v>
      </c>
      <c r="CC88" s="36">
        <f>I21</f>
        <v>0</v>
      </c>
      <c r="CD88" s="149">
        <f>I22</f>
        <v>0</v>
      </c>
      <c r="CE88" s="138">
        <f>IF(K21=$BQ$2,0,(IF(K21="",0,K21)))</f>
        <v>0</v>
      </c>
      <c r="CF88" s="36">
        <f>L21</f>
        <v>0</v>
      </c>
      <c r="CG88" s="149">
        <f>L22</f>
        <v>0</v>
      </c>
      <c r="CH88" s="138">
        <f>IF(N21=$BQ$2,0,(IF(N21="",0,N21)))</f>
        <v>0</v>
      </c>
      <c r="CI88" s="36">
        <f>O21</f>
        <v>0</v>
      </c>
      <c r="CJ88" s="149">
        <f>O22</f>
        <v>0</v>
      </c>
      <c r="CK88" s="138">
        <f>IF(Q21=$BQ$2,0,(IF(Q21="",0,Q21)))</f>
        <v>0</v>
      </c>
      <c r="CL88" s="36">
        <f>R21</f>
        <v>0</v>
      </c>
      <c r="CM88" s="149">
        <f>R22</f>
        <v>0</v>
      </c>
      <c r="CN88" s="138">
        <f>IF(T21=$BQ$2,0,(IF(T21="",0,T21)))</f>
        <v>0</v>
      </c>
      <c r="CO88" s="36">
        <f>U21</f>
        <v>0</v>
      </c>
      <c r="CP88" s="149">
        <f>U22</f>
        <v>0</v>
      </c>
      <c r="CQ88" s="138">
        <f>IF(W21=$BQ$2,0,(IF(W21="",0,W21)))</f>
        <v>0</v>
      </c>
      <c r="CR88" s="36">
        <f>X21</f>
        <v>0</v>
      </c>
      <c r="CS88" s="149">
        <f>X22</f>
        <v>0</v>
      </c>
      <c r="CT88" s="138"/>
      <c r="CV88" s="149"/>
      <c r="DH88" s="36">
        <f t="shared" si="379"/>
        <v>99</v>
      </c>
      <c r="DI88" s="36">
        <f t="shared" si="380"/>
        <v>8</v>
      </c>
      <c r="DJ88" s="63" t="str">
        <f t="shared" si="375"/>
        <v/>
      </c>
      <c r="DK88" s="36">
        <f t="shared" si="381"/>
        <v>8</v>
      </c>
      <c r="DL88" s="138">
        <f t="shared" si="382"/>
        <v>0</v>
      </c>
      <c r="DM88" s="149">
        <f t="shared" si="383"/>
        <v>0</v>
      </c>
      <c r="DN88" s="138" t="str">
        <f>IF(AD21="","",1)</f>
        <v/>
      </c>
      <c r="DP88" s="36" t="str">
        <f t="shared" si="384"/>
        <v/>
      </c>
      <c r="DQ88" s="36">
        <f t="shared" si="385"/>
        <v>999</v>
      </c>
      <c r="DR88" s="36" t="str">
        <f>AC21</f>
        <v/>
      </c>
      <c r="DS88" s="36">
        <f t="shared" si="386"/>
        <v>0</v>
      </c>
      <c r="DT88" s="36">
        <f t="shared" si="387"/>
        <v>0</v>
      </c>
      <c r="DU88" s="36">
        <f t="shared" si="388"/>
        <v>0</v>
      </c>
      <c r="DV88" s="36">
        <f t="shared" si="389"/>
        <v>7</v>
      </c>
      <c r="DW88" s="36">
        <f>IF(DQ88=$BK$2,0,(IF(BP21&gt;1,1,0)))</f>
        <v>0</v>
      </c>
      <c r="DX88" s="296">
        <f t="shared" si="390"/>
        <v>10000000000.000999</v>
      </c>
      <c r="DY88" s="296"/>
      <c r="DZ88" s="296"/>
      <c r="EA88" s="53">
        <f t="shared" si="391"/>
        <v>15</v>
      </c>
      <c r="EB88" s="53"/>
      <c r="EC88" s="296">
        <f t="shared" si="392"/>
        <v>10000000000.000999</v>
      </c>
      <c r="ED88" s="296"/>
      <c r="EE88" s="296"/>
      <c r="EG88" s="36">
        <f t="shared" si="393"/>
        <v>15</v>
      </c>
      <c r="EJ88" s="36">
        <f t="shared" si="394"/>
        <v>0</v>
      </c>
      <c r="EM88" s="36" t="str">
        <f>AC21</f>
        <v/>
      </c>
      <c r="EN88" s="36">
        <f t="shared" si="376"/>
        <v>999</v>
      </c>
      <c r="FU88" s="36">
        <f>SUM(FU85:FU87)</f>
        <v>2</v>
      </c>
      <c r="FX88" s="36">
        <f>SUM(FX85:FX87)</f>
        <v>2</v>
      </c>
      <c r="GA88" s="36">
        <f>SUM(GA85:GA87)</f>
        <v>2</v>
      </c>
      <c r="GY88" s="183" t="str">
        <f t="shared" si="378"/>
        <v/>
      </c>
      <c r="GZ88" s="122">
        <f t="shared" si="395"/>
        <v>9</v>
      </c>
      <c r="HB88" s="36" t="str">
        <f t="shared" si="396"/>
        <v/>
      </c>
      <c r="HC88" s="177" t="str">
        <f>GY84</f>
        <v/>
      </c>
      <c r="HD88" s="122">
        <f>HD86+1</f>
        <v>5</v>
      </c>
      <c r="HF88" s="153" t="str">
        <f>HB84</f>
        <v/>
      </c>
    </row>
    <row r="89" spans="1:214" ht="12.75" hidden="1" customHeight="1" x14ac:dyDescent="0.25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85">
        <v>1</v>
      </c>
      <c r="AG89" s="36"/>
      <c r="AH89" s="36">
        <f t="shared" si="399"/>
        <v>2</v>
      </c>
      <c r="AI89" s="36">
        <f t="shared" si="404"/>
        <v>3</v>
      </c>
      <c r="AJ89" s="36">
        <f t="shared" ref="AJ89:AJ104" si="409">AJ7</f>
        <v>3</v>
      </c>
      <c r="AM89" s="36">
        <f t="shared" si="400"/>
        <v>1</v>
      </c>
      <c r="AN89" s="36">
        <f t="shared" si="405"/>
        <v>0</v>
      </c>
      <c r="AO89" s="36" t="str">
        <f t="shared" ref="AO89:AO104" si="410">AO7</f>
        <v/>
      </c>
      <c r="AR89" s="36" t="str">
        <f t="shared" si="401"/>
        <v/>
      </c>
      <c r="AS89" s="36">
        <f t="shared" si="406"/>
        <v>0</v>
      </c>
      <c r="AT89" s="36" t="str">
        <f t="shared" ref="AT89:AT104" si="411">AT7</f>
        <v/>
      </c>
      <c r="AW89" s="36" t="str">
        <f t="shared" si="402"/>
        <v/>
      </c>
      <c r="AX89" s="36">
        <f t="shared" si="407"/>
        <v>0</v>
      </c>
      <c r="AY89" s="36" t="str">
        <f t="shared" ref="AY89:AY104" si="412">AY7</f>
        <v/>
      </c>
      <c r="BB89" s="36" t="str">
        <f t="shared" si="403"/>
        <v/>
      </c>
      <c r="BC89" s="36">
        <f t="shared" si="408"/>
        <v>0</v>
      </c>
      <c r="BD89" s="36" t="str">
        <f t="shared" ref="BD89:BD104" si="413">BD7</f>
        <v/>
      </c>
      <c r="BU89" s="36">
        <f t="shared" si="397"/>
        <v>9</v>
      </c>
      <c r="BV89" s="36">
        <f t="shared" si="398"/>
        <v>9</v>
      </c>
      <c r="BX89" s="63" t="str">
        <f>D23</f>
        <v/>
      </c>
      <c r="BY89" s="138">
        <f>IF(E23=$BQ$2,0,(IF(E23="",0,E23)))</f>
        <v>0</v>
      </c>
      <c r="BZ89" s="36">
        <f>F23</f>
        <v>0</v>
      </c>
      <c r="CA89" s="149">
        <f>F24</f>
        <v>0</v>
      </c>
      <c r="CB89" s="138">
        <f>IF(H23=$BQ$2,0,(IF(H23="",0,H23)))</f>
        <v>0</v>
      </c>
      <c r="CC89" s="36">
        <f>I23</f>
        <v>0</v>
      </c>
      <c r="CD89" s="149">
        <f>I24</f>
        <v>0</v>
      </c>
      <c r="CE89" s="138">
        <f>IF(K23=$BQ$2,0,(IF(K23="",0,K23)))</f>
        <v>0</v>
      </c>
      <c r="CF89" s="36">
        <f>L23</f>
        <v>0</v>
      </c>
      <c r="CG89" s="149">
        <f>L24</f>
        <v>0</v>
      </c>
      <c r="CH89" s="138">
        <f>IF(N23=$BQ$2,0,(IF(N23="",0,N23)))</f>
        <v>0</v>
      </c>
      <c r="CI89" s="36">
        <f>O23</f>
        <v>0</v>
      </c>
      <c r="CJ89" s="149">
        <f>O24</f>
        <v>0</v>
      </c>
      <c r="CK89" s="138">
        <f>IF(Q23=$BQ$2,0,(IF(Q23="",0,Q23)))</f>
        <v>0</v>
      </c>
      <c r="CL89" s="36">
        <f>R23</f>
        <v>0</v>
      </c>
      <c r="CM89" s="149">
        <f>R24</f>
        <v>0</v>
      </c>
      <c r="CN89" s="138">
        <f>IF(T23=$BQ$2,0,(IF(T23="",0,T23)))</f>
        <v>0</v>
      </c>
      <c r="CO89" s="36">
        <f>U23</f>
        <v>0</v>
      </c>
      <c r="CP89" s="149">
        <f>U24</f>
        <v>0</v>
      </c>
      <c r="CQ89" s="138">
        <f>IF(W23=$BQ$2,0,(IF(W23="",0,W23)))</f>
        <v>0</v>
      </c>
      <c r="CR89" s="36">
        <f>X23</f>
        <v>0</v>
      </c>
      <c r="CS89" s="149">
        <f>X24</f>
        <v>0</v>
      </c>
      <c r="CT89" s="138"/>
      <c r="CV89" s="149"/>
      <c r="DH89" s="36">
        <f t="shared" si="379"/>
        <v>99</v>
      </c>
      <c r="DI89" s="36">
        <f t="shared" si="380"/>
        <v>9</v>
      </c>
      <c r="DJ89" s="63" t="str">
        <f t="shared" si="375"/>
        <v/>
      </c>
      <c r="DK89" s="36">
        <f t="shared" si="381"/>
        <v>9</v>
      </c>
      <c r="DL89" s="138">
        <f t="shared" si="382"/>
        <v>0</v>
      </c>
      <c r="DM89" s="149">
        <f t="shared" si="383"/>
        <v>0</v>
      </c>
      <c r="DN89" s="138" t="str">
        <f>IF(AD23="","",1)</f>
        <v/>
      </c>
      <c r="DP89" s="36" t="str">
        <f t="shared" si="384"/>
        <v/>
      </c>
      <c r="DQ89" s="36">
        <f t="shared" si="385"/>
        <v>999</v>
      </c>
      <c r="DR89" s="36" t="str">
        <f>AC23</f>
        <v/>
      </c>
      <c r="DS89" s="36">
        <f t="shared" si="386"/>
        <v>0</v>
      </c>
      <c r="DT89" s="36">
        <f t="shared" si="387"/>
        <v>0</v>
      </c>
      <c r="DU89" s="36">
        <f t="shared" si="388"/>
        <v>0</v>
      </c>
      <c r="DV89" s="36">
        <f t="shared" si="389"/>
        <v>7</v>
      </c>
      <c r="DW89" s="36">
        <f>IF(DQ89=$BK$2,0,(IF(BP23&gt;1,1,0)))</f>
        <v>0</v>
      </c>
      <c r="DX89" s="296">
        <f t="shared" si="390"/>
        <v>10000000000.000999</v>
      </c>
      <c r="DY89" s="296"/>
      <c r="DZ89" s="296"/>
      <c r="EA89" s="53">
        <f t="shared" si="391"/>
        <v>15</v>
      </c>
      <c r="EB89" s="53"/>
      <c r="EC89" s="296">
        <f t="shared" si="392"/>
        <v>10000000000.000999</v>
      </c>
      <c r="ED89" s="296"/>
      <c r="EE89" s="296"/>
      <c r="EG89" s="36">
        <f t="shared" si="393"/>
        <v>15</v>
      </c>
      <c r="EJ89" s="36">
        <f t="shared" si="394"/>
        <v>0</v>
      </c>
      <c r="EM89" s="36" t="str">
        <f>AC23</f>
        <v/>
      </c>
      <c r="EN89" s="36">
        <f t="shared" si="376"/>
        <v>999</v>
      </c>
      <c r="FU89" s="36">
        <f>IF(FU88=2,0,1)</f>
        <v>0</v>
      </c>
      <c r="FX89" s="36">
        <f>IF(FX88=2,0,2)</f>
        <v>0</v>
      </c>
      <c r="GA89" s="36">
        <f>IF(GA88=2,0,4)</f>
        <v>0</v>
      </c>
      <c r="GD89" s="36">
        <f>FU89+FX89+GA89</f>
        <v>0</v>
      </c>
      <c r="GY89" s="183" t="str">
        <f t="shared" si="378"/>
        <v/>
      </c>
      <c r="GZ89" s="122">
        <f t="shared" si="395"/>
        <v>10</v>
      </c>
      <c r="HB89" s="36" t="str">
        <f t="shared" si="396"/>
        <v/>
      </c>
      <c r="HC89" s="177"/>
      <c r="HD89" s="122"/>
      <c r="HF89" s="153"/>
    </row>
    <row r="90" spans="1:214" ht="12.75" hidden="1" customHeight="1" x14ac:dyDescent="0.25">
      <c r="AF90" s="36">
        <f>AF89+1</f>
        <v>2</v>
      </c>
      <c r="AG90" s="36"/>
      <c r="AH90" s="36">
        <f t="shared" si="399"/>
        <v>3</v>
      </c>
      <c r="AI90" s="36">
        <f t="shared" si="404"/>
        <v>0</v>
      </c>
      <c r="AJ90" s="36">
        <f t="shared" si="409"/>
        <v>2</v>
      </c>
      <c r="AM90" s="36">
        <f t="shared" si="400"/>
        <v>3</v>
      </c>
      <c r="AN90" s="36">
        <f t="shared" si="405"/>
        <v>0</v>
      </c>
      <c r="AO90" s="36" t="str">
        <f t="shared" si="410"/>
        <v/>
      </c>
      <c r="AR90" s="36" t="str">
        <f t="shared" si="401"/>
        <v/>
      </c>
      <c r="AS90" s="36">
        <f t="shared" si="406"/>
        <v>0</v>
      </c>
      <c r="AT90" s="36" t="str">
        <f t="shared" si="411"/>
        <v/>
      </c>
      <c r="AW90" s="36" t="str">
        <f t="shared" si="402"/>
        <v/>
      </c>
      <c r="AX90" s="36">
        <f t="shared" si="407"/>
        <v>0</v>
      </c>
      <c r="AY90" s="36" t="str">
        <f t="shared" si="412"/>
        <v/>
      </c>
      <c r="BB90" s="36" t="str">
        <f t="shared" si="403"/>
        <v/>
      </c>
      <c r="BC90" s="36">
        <f t="shared" si="408"/>
        <v>0</v>
      </c>
      <c r="BD90" s="36" t="str">
        <f t="shared" si="413"/>
        <v/>
      </c>
      <c r="BU90" s="36">
        <f t="shared" si="397"/>
        <v>10</v>
      </c>
      <c r="BV90" s="36">
        <f t="shared" si="398"/>
        <v>10</v>
      </c>
      <c r="BX90" s="63" t="str">
        <f>D25</f>
        <v/>
      </c>
      <c r="BY90" s="138">
        <f>IF(E25=$BQ$2,0,(IF(E25="",0,E25)))</f>
        <v>0</v>
      </c>
      <c r="BZ90" s="36">
        <f>F25</f>
        <v>0</v>
      </c>
      <c r="CA90" s="149">
        <f>F26</f>
        <v>0</v>
      </c>
      <c r="CB90" s="138">
        <f>IF(H25=$BQ$2,0,(IF(H25="",0,H25)))</f>
        <v>0</v>
      </c>
      <c r="CC90" s="36">
        <f>I25</f>
        <v>0</v>
      </c>
      <c r="CD90" s="149">
        <f>I26</f>
        <v>0</v>
      </c>
      <c r="CE90" s="138">
        <f>IF(K25=$BQ$2,0,(IF(K25="",0,K25)))</f>
        <v>0</v>
      </c>
      <c r="CF90" s="36">
        <f>L25</f>
        <v>0</v>
      </c>
      <c r="CG90" s="149">
        <f>L26</f>
        <v>0</v>
      </c>
      <c r="CH90" s="138">
        <f>IF(N25=$BQ$2,0,(IF(N25="",0,N25)))</f>
        <v>0</v>
      </c>
      <c r="CI90" s="36">
        <f>O25</f>
        <v>0</v>
      </c>
      <c r="CJ90" s="149">
        <f>O26</f>
        <v>0</v>
      </c>
      <c r="CK90" s="138">
        <f>IF(Q25=$BQ$2,0,(IF(Q25="",0,Q25)))</f>
        <v>0</v>
      </c>
      <c r="CL90" s="36">
        <f>R25</f>
        <v>0</v>
      </c>
      <c r="CM90" s="149">
        <f>R26</f>
        <v>0</v>
      </c>
      <c r="CN90" s="138">
        <f>IF(T25=$BQ$2,0,(IF(T25="",0,T25)))</f>
        <v>0</v>
      </c>
      <c r="CO90" s="36">
        <f>U25</f>
        <v>0</v>
      </c>
      <c r="CP90" s="149">
        <f>U26</f>
        <v>0</v>
      </c>
      <c r="CQ90" s="138">
        <f>IF(W25=$BQ$2,0,(IF(W25="",0,W25)))</f>
        <v>0</v>
      </c>
      <c r="CR90" s="36">
        <f>X25</f>
        <v>0</v>
      </c>
      <c r="CS90" s="149">
        <f>X26</f>
        <v>0</v>
      </c>
      <c r="CT90" s="138"/>
      <c r="CV90" s="149"/>
      <c r="DH90" s="36">
        <f t="shared" si="379"/>
        <v>99</v>
      </c>
      <c r="DI90" s="36">
        <f t="shared" si="380"/>
        <v>10</v>
      </c>
      <c r="DJ90" s="63" t="str">
        <f t="shared" si="375"/>
        <v/>
      </c>
      <c r="DK90" s="36">
        <f t="shared" si="381"/>
        <v>10</v>
      </c>
      <c r="DL90" s="138">
        <f t="shared" si="382"/>
        <v>0</v>
      </c>
      <c r="DM90" s="149">
        <f t="shared" si="383"/>
        <v>0</v>
      </c>
      <c r="DN90" s="138" t="str">
        <f>IF(AD25="","",1)</f>
        <v/>
      </c>
      <c r="DP90" s="36" t="str">
        <f t="shared" si="384"/>
        <v/>
      </c>
      <c r="DQ90" s="36">
        <f t="shared" si="385"/>
        <v>999</v>
      </c>
      <c r="DR90" s="36" t="str">
        <f>AC25</f>
        <v/>
      </c>
      <c r="DS90" s="36">
        <f t="shared" si="386"/>
        <v>0</v>
      </c>
      <c r="DT90" s="36">
        <f t="shared" si="387"/>
        <v>0</v>
      </c>
      <c r="DU90" s="36">
        <f t="shared" si="388"/>
        <v>0</v>
      </c>
      <c r="DV90" s="36">
        <f t="shared" si="389"/>
        <v>7</v>
      </c>
      <c r="DW90" s="36">
        <f>IF(DQ90=$BK$2,0,(IF(BP25&gt;1,1,0)))</f>
        <v>0</v>
      </c>
      <c r="DX90" s="296">
        <f t="shared" si="390"/>
        <v>10000000000.000999</v>
      </c>
      <c r="DY90" s="296"/>
      <c r="DZ90" s="296"/>
      <c r="EA90" s="53">
        <f t="shared" si="391"/>
        <v>15</v>
      </c>
      <c r="EB90" s="53"/>
      <c r="EC90" s="296">
        <f t="shared" si="392"/>
        <v>10000000000.000999</v>
      </c>
      <c r="ED90" s="296"/>
      <c r="EE90" s="296"/>
      <c r="EG90" s="36">
        <f t="shared" si="393"/>
        <v>15</v>
      </c>
      <c r="EJ90" s="36">
        <f t="shared" si="394"/>
        <v>0</v>
      </c>
      <c r="EM90" s="36" t="str">
        <f>AC25</f>
        <v/>
      </c>
      <c r="EN90" s="36">
        <f t="shared" si="376"/>
        <v>999</v>
      </c>
      <c r="GY90" s="183" t="str">
        <f t="shared" si="378"/>
        <v/>
      </c>
      <c r="GZ90" s="122">
        <f t="shared" si="395"/>
        <v>11</v>
      </c>
      <c r="HB90" s="36" t="str">
        <f t="shared" si="396"/>
        <v/>
      </c>
      <c r="HC90" s="177" t="str">
        <f>GY85</f>
        <v/>
      </c>
      <c r="HD90" s="122">
        <f>HD88+1</f>
        <v>6</v>
      </c>
      <c r="HF90" s="153" t="str">
        <f>HB85</f>
        <v/>
      </c>
    </row>
    <row r="91" spans="1:214" ht="12.75" hidden="1" customHeight="1" x14ac:dyDescent="0.25">
      <c r="D91" s="37">
        <v>1</v>
      </c>
      <c r="F91" s="36">
        <f>IF(E7=$BQ$2,1,(IF(E7="",1,(IF(F7="",0,1)))))</f>
        <v>1</v>
      </c>
      <c r="I91" s="36">
        <f>IF(H7=$BQ$2,1,(IF(H7="",1,(IF(I7="",0,1)))))</f>
        <v>1</v>
      </c>
      <c r="L91" s="36">
        <f>IF(K7=$BQ$2,1,(IF(K7="",1,(IF(L7="",0,1)))))</f>
        <v>1</v>
      </c>
      <c r="O91" s="36">
        <f>IF(N7=$BQ$2,1,(IF(N7="",1,(IF(O7="",0,1)))))</f>
        <v>1</v>
      </c>
      <c r="R91" s="36">
        <f>IF(Q7=$BQ$2,1,(IF(Q7="",1,(IF(R7="",0,1)))))</f>
        <v>1</v>
      </c>
      <c r="U91" s="36">
        <f>IF(T7=$BQ$2,1,(IF(T7="",1,(IF(U7="",0,1)))))</f>
        <v>1</v>
      </c>
      <c r="X91" s="36">
        <f>IF(W7=$BQ$2,1,(IF(W7="",1,(IF(X7="",0,1)))))</f>
        <v>1</v>
      </c>
      <c r="AF91" s="36">
        <f t="shared" ref="AF91:AF120" si="414">AF90+1</f>
        <v>3</v>
      </c>
      <c r="AG91" s="36"/>
      <c r="AH91" s="36">
        <f t="shared" si="399"/>
        <v>1</v>
      </c>
      <c r="AI91" s="36">
        <f t="shared" si="404"/>
        <v>0</v>
      </c>
      <c r="AJ91" s="36" t="str">
        <f t="shared" si="409"/>
        <v>VL</v>
      </c>
      <c r="AM91" s="36" t="str">
        <f t="shared" si="400"/>
        <v/>
      </c>
      <c r="AN91" s="36">
        <f t="shared" si="405"/>
        <v>0</v>
      </c>
      <c r="AO91" s="36" t="str">
        <f t="shared" si="410"/>
        <v/>
      </c>
      <c r="AR91" s="36" t="str">
        <f t="shared" si="401"/>
        <v/>
      </c>
      <c r="AS91" s="36">
        <f t="shared" si="406"/>
        <v>0</v>
      </c>
      <c r="AT91" s="36" t="str">
        <f t="shared" si="411"/>
        <v/>
      </c>
      <c r="AW91" s="36" t="str">
        <f t="shared" si="402"/>
        <v/>
      </c>
      <c r="AX91" s="36">
        <f t="shared" si="407"/>
        <v>0</v>
      </c>
      <c r="AY91" s="36" t="str">
        <f t="shared" si="412"/>
        <v/>
      </c>
      <c r="BB91" s="36" t="str">
        <f t="shared" si="403"/>
        <v/>
      </c>
      <c r="BC91" s="36">
        <f t="shared" si="408"/>
        <v>0</v>
      </c>
      <c r="BD91" s="36" t="str">
        <f t="shared" si="413"/>
        <v/>
      </c>
      <c r="BU91" s="36">
        <f t="shared" si="397"/>
        <v>11</v>
      </c>
      <c r="BV91" s="36">
        <f t="shared" si="398"/>
        <v>11</v>
      </c>
      <c r="BX91" s="63" t="str">
        <f>D27</f>
        <v/>
      </c>
      <c r="BY91" s="138">
        <f>IF(E27=$BQ$2,0,(IF(E27="",0,E27)))</f>
        <v>0</v>
      </c>
      <c r="BZ91" s="36">
        <f>F27</f>
        <v>0</v>
      </c>
      <c r="CA91" s="149">
        <f>F28</f>
        <v>0</v>
      </c>
      <c r="CB91" s="138">
        <f>IF(H27=$BQ$2,0,(IF(H27="",0,H27)))</f>
        <v>0</v>
      </c>
      <c r="CC91" s="36">
        <f>I27</f>
        <v>0</v>
      </c>
      <c r="CD91" s="149">
        <f>I28</f>
        <v>0</v>
      </c>
      <c r="CE91" s="138">
        <f>IF(K27=$BQ$2,0,(IF(K27="",0,K27)))</f>
        <v>0</v>
      </c>
      <c r="CF91" s="36">
        <f>L27</f>
        <v>0</v>
      </c>
      <c r="CG91" s="149">
        <f>L28</f>
        <v>0</v>
      </c>
      <c r="CH91" s="138">
        <f>IF(N27=$BQ$2,0,(IF(N27="",0,N27)))</f>
        <v>0</v>
      </c>
      <c r="CI91" s="36">
        <f>O27</f>
        <v>0</v>
      </c>
      <c r="CJ91" s="149">
        <f>O28</f>
        <v>0</v>
      </c>
      <c r="CK91" s="138">
        <f>IF(Q27=$BQ$2,0,(IF(Q27="",0,Q27)))</f>
        <v>0</v>
      </c>
      <c r="CL91" s="36">
        <f>R27</f>
        <v>0</v>
      </c>
      <c r="CM91" s="149">
        <f>R28</f>
        <v>0</v>
      </c>
      <c r="CN91" s="138">
        <f>IF(T27=$BQ$2,0,(IF(T27="",0,T27)))</f>
        <v>0</v>
      </c>
      <c r="CO91" s="36">
        <f>U27</f>
        <v>0</v>
      </c>
      <c r="CP91" s="149">
        <f>U28</f>
        <v>0</v>
      </c>
      <c r="CQ91" s="138">
        <f>IF(W27=$BQ$2,0,(IF(W27="",0,W27)))</f>
        <v>0</v>
      </c>
      <c r="CR91" s="36">
        <f>X27</f>
        <v>0</v>
      </c>
      <c r="CS91" s="149">
        <f>X28</f>
        <v>0</v>
      </c>
      <c r="CT91" s="138"/>
      <c r="CV91" s="149"/>
      <c r="DH91" s="36">
        <f t="shared" si="379"/>
        <v>99</v>
      </c>
      <c r="DI91" s="36">
        <f t="shared" si="380"/>
        <v>11</v>
      </c>
      <c r="DJ91" s="63" t="str">
        <f t="shared" si="375"/>
        <v/>
      </c>
      <c r="DK91" s="36">
        <f t="shared" si="381"/>
        <v>11</v>
      </c>
      <c r="DL91" s="138">
        <f t="shared" si="382"/>
        <v>0</v>
      </c>
      <c r="DM91" s="149">
        <f t="shared" si="383"/>
        <v>0</v>
      </c>
      <c r="DN91" s="138" t="str">
        <f>IF(AD27="","",1)</f>
        <v/>
      </c>
      <c r="DP91" s="36" t="str">
        <f t="shared" si="384"/>
        <v/>
      </c>
      <c r="DQ91" s="36">
        <f t="shared" si="385"/>
        <v>999</v>
      </c>
      <c r="DR91" s="36" t="str">
        <f>AC27</f>
        <v/>
      </c>
      <c r="DS91" s="36">
        <f t="shared" si="386"/>
        <v>0</v>
      </c>
      <c r="DT91" s="36">
        <f t="shared" si="387"/>
        <v>0</v>
      </c>
      <c r="DU91" s="36">
        <f t="shared" si="388"/>
        <v>0</v>
      </c>
      <c r="DV91" s="36">
        <f t="shared" si="389"/>
        <v>7</v>
      </c>
      <c r="DW91" s="36">
        <f>IF(DQ91=$BK$2,0,(IF(BP27&gt;1,1,0)))</f>
        <v>0</v>
      </c>
      <c r="DX91" s="296">
        <f t="shared" si="390"/>
        <v>10000000000.000999</v>
      </c>
      <c r="DY91" s="296"/>
      <c r="DZ91" s="296"/>
      <c r="EA91" s="53">
        <f t="shared" si="391"/>
        <v>15</v>
      </c>
      <c r="EB91" s="53"/>
      <c r="EC91" s="296">
        <f t="shared" si="392"/>
        <v>10000000000.000999</v>
      </c>
      <c r="ED91" s="296"/>
      <c r="EE91" s="296"/>
      <c r="EG91" s="36">
        <f t="shared" si="393"/>
        <v>15</v>
      </c>
      <c r="EJ91" s="36">
        <f t="shared" si="394"/>
        <v>0</v>
      </c>
      <c r="EM91" s="36" t="str">
        <f>AC27</f>
        <v/>
      </c>
      <c r="EN91" s="36">
        <f t="shared" si="376"/>
        <v>999</v>
      </c>
      <c r="GY91" s="183" t="str">
        <f t="shared" si="378"/>
        <v/>
      </c>
      <c r="GZ91" s="122">
        <f t="shared" si="395"/>
        <v>12</v>
      </c>
      <c r="HB91" s="36" t="str">
        <f t="shared" si="396"/>
        <v/>
      </c>
      <c r="HC91" s="177"/>
      <c r="HD91" s="122"/>
      <c r="HF91" s="153"/>
    </row>
    <row r="92" spans="1:214" ht="12.75" hidden="1" customHeight="1" x14ac:dyDescent="0.25">
      <c r="D92" s="37"/>
      <c r="F92" s="36">
        <f>IF(E7=$BQ$2,1,(IF(E7="",1,(IF(F8="",0,1)))))</f>
        <v>1</v>
      </c>
      <c r="I92" s="36">
        <f>IF(H7=$BQ$2,1,(IF(H7="",1,(IF(I8="",0,1)))))</f>
        <v>1</v>
      </c>
      <c r="L92" s="36">
        <f>IF(K7=$BQ$2,1,(IF(K7="",1,(IF(L8="",0,1)))))</f>
        <v>1</v>
      </c>
      <c r="O92" s="36">
        <f>IF(N7=$BQ$2,1,(IF(N7="",1,(IF(O8="",0,1)))))</f>
        <v>1</v>
      </c>
      <c r="R92" s="36">
        <f>IF(Q7=$BQ$2,1,(IF(Q7="",1,(IF(R8="",0,1)))))</f>
        <v>1</v>
      </c>
      <c r="U92" s="36">
        <f>IF(T7=$BQ$2,1,(IF(T7="",1,(IF(U8="",0,1)))))</f>
        <v>1</v>
      </c>
      <c r="X92" s="36">
        <f>IF(W7=$BQ$2,1,(IF(W7="",1,(IF(X8="",0,1)))))</f>
        <v>1</v>
      </c>
      <c r="AF92" s="36">
        <f t="shared" si="414"/>
        <v>4</v>
      </c>
      <c r="AG92" s="36"/>
      <c r="AH92" s="36" t="str">
        <f t="shared" si="399"/>
        <v/>
      </c>
      <c r="AI92" s="36">
        <f t="shared" si="404"/>
        <v>0</v>
      </c>
      <c r="AJ92" s="36" t="str">
        <f t="shared" si="409"/>
        <v/>
      </c>
      <c r="AM92" s="36" t="str">
        <f t="shared" si="400"/>
        <v/>
      </c>
      <c r="AN92" s="36">
        <f t="shared" si="405"/>
        <v>0</v>
      </c>
      <c r="AO92" s="36" t="str">
        <f t="shared" si="410"/>
        <v/>
      </c>
      <c r="AR92" s="36" t="str">
        <f t="shared" si="401"/>
        <v/>
      </c>
      <c r="AS92" s="36">
        <f t="shared" si="406"/>
        <v>0</v>
      </c>
      <c r="AT92" s="36" t="str">
        <f t="shared" si="411"/>
        <v/>
      </c>
      <c r="AW92" s="36" t="str">
        <f t="shared" si="402"/>
        <v/>
      </c>
      <c r="AX92" s="36">
        <f t="shared" si="407"/>
        <v>0</v>
      </c>
      <c r="AY92" s="36" t="str">
        <f t="shared" si="412"/>
        <v/>
      </c>
      <c r="BB92" s="36" t="str">
        <f t="shared" si="403"/>
        <v/>
      </c>
      <c r="BC92" s="36">
        <f t="shared" si="408"/>
        <v>0</v>
      </c>
      <c r="BD92" s="36" t="str">
        <f t="shared" si="413"/>
        <v/>
      </c>
      <c r="BU92" s="36">
        <f t="shared" si="397"/>
        <v>12</v>
      </c>
      <c r="BV92" s="36">
        <f t="shared" si="398"/>
        <v>12</v>
      </c>
      <c r="BX92" s="63" t="str">
        <f>D29</f>
        <v/>
      </c>
      <c r="BY92" s="138">
        <f>IF(E29=$BQ$2,0,(IF(E29="",0,E29)))</f>
        <v>0</v>
      </c>
      <c r="BZ92" s="36">
        <f>F29</f>
        <v>0</v>
      </c>
      <c r="CA92" s="149">
        <f>F30</f>
        <v>0</v>
      </c>
      <c r="CB92" s="138">
        <f>IF(H29=$BQ$2,0,(IF(H29="",0,H29)))</f>
        <v>0</v>
      </c>
      <c r="CC92" s="36">
        <f>I29</f>
        <v>0</v>
      </c>
      <c r="CD92" s="149">
        <f>I30</f>
        <v>0</v>
      </c>
      <c r="CE92" s="138">
        <f>IF(K29=$BQ$2,0,(IF(K29="",0,K29)))</f>
        <v>0</v>
      </c>
      <c r="CF92" s="36">
        <f>L29</f>
        <v>0</v>
      </c>
      <c r="CG92" s="149">
        <f>L30</f>
        <v>0</v>
      </c>
      <c r="CH92" s="138">
        <f>IF(N29=$BQ$2,0,(IF(N29="",0,N29)))</f>
        <v>0</v>
      </c>
      <c r="CI92" s="36">
        <f>O29</f>
        <v>0</v>
      </c>
      <c r="CJ92" s="149">
        <f>O30</f>
        <v>0</v>
      </c>
      <c r="CK92" s="138">
        <f>IF(Q29=$BQ$2,0,(IF(Q29="",0,Q29)))</f>
        <v>0</v>
      </c>
      <c r="CL92" s="36">
        <f>R29</f>
        <v>0</v>
      </c>
      <c r="CM92" s="149">
        <f>R30</f>
        <v>0</v>
      </c>
      <c r="CN92" s="138">
        <f>IF(T29=$BQ$2,0,(IF(T29="",0,T29)))</f>
        <v>0</v>
      </c>
      <c r="CO92" s="36">
        <f>U29</f>
        <v>0</v>
      </c>
      <c r="CP92" s="149">
        <f>U30</f>
        <v>0</v>
      </c>
      <c r="CQ92" s="138">
        <f>IF(W29=$BQ$2,0,(IF(W29="",0,W29)))</f>
        <v>0</v>
      </c>
      <c r="CR92" s="36">
        <f>X29</f>
        <v>0</v>
      </c>
      <c r="CS92" s="149">
        <f>X30</f>
        <v>0</v>
      </c>
      <c r="CT92" s="138"/>
      <c r="CV92" s="149"/>
      <c r="DH92" s="36">
        <f t="shared" si="379"/>
        <v>99</v>
      </c>
      <c r="DI92" s="36">
        <f t="shared" si="380"/>
        <v>12</v>
      </c>
      <c r="DJ92" s="63" t="str">
        <f t="shared" si="375"/>
        <v/>
      </c>
      <c r="DK92" s="36">
        <f t="shared" si="381"/>
        <v>12</v>
      </c>
      <c r="DL92" s="138">
        <f t="shared" si="382"/>
        <v>0</v>
      </c>
      <c r="DM92" s="149">
        <f t="shared" si="383"/>
        <v>0</v>
      </c>
      <c r="DN92" s="138" t="str">
        <f>IF(AD29="","",1)</f>
        <v/>
      </c>
      <c r="DP92" s="36" t="str">
        <f t="shared" si="384"/>
        <v/>
      </c>
      <c r="DQ92" s="36">
        <f t="shared" si="385"/>
        <v>999</v>
      </c>
      <c r="DR92" s="36" t="str">
        <f>AC29</f>
        <v/>
      </c>
      <c r="DS92" s="36">
        <f t="shared" si="386"/>
        <v>0</v>
      </c>
      <c r="DT92" s="36">
        <f t="shared" si="387"/>
        <v>0</v>
      </c>
      <c r="DU92" s="36">
        <f t="shared" si="388"/>
        <v>0</v>
      </c>
      <c r="DV92" s="36">
        <f t="shared" si="389"/>
        <v>7</v>
      </c>
      <c r="DW92" s="36">
        <f>IF(DQ92=$BK$2,0,(IF(BP29&gt;1,1,0)))</f>
        <v>0</v>
      </c>
      <c r="DX92" s="296">
        <f t="shared" si="390"/>
        <v>10000000000.000999</v>
      </c>
      <c r="DY92" s="296"/>
      <c r="DZ92" s="296"/>
      <c r="EA92" s="53">
        <f t="shared" si="391"/>
        <v>15</v>
      </c>
      <c r="EB92" s="53"/>
      <c r="EC92" s="296">
        <f t="shared" si="392"/>
        <v>10000000000.000999</v>
      </c>
      <c r="ED92" s="296"/>
      <c r="EE92" s="296"/>
      <c r="EG92" s="36">
        <f t="shared" si="393"/>
        <v>15</v>
      </c>
      <c r="EJ92" s="36">
        <f t="shared" si="394"/>
        <v>0</v>
      </c>
      <c r="EM92" s="36" t="str">
        <f>AC29</f>
        <v/>
      </c>
      <c r="EN92" s="36">
        <f t="shared" si="376"/>
        <v>999</v>
      </c>
      <c r="EP92" s="297" t="str">
        <f>[1]List1!$A$12</f>
        <v>1. kolo</v>
      </c>
      <c r="EQ92" s="298"/>
      <c r="ER92" s="299"/>
      <c r="ES92" s="297" t="str">
        <f>[1]List1!$A$13</f>
        <v>2. kolo</v>
      </c>
      <c r="ET92" s="298"/>
      <c r="EU92" s="299"/>
      <c r="EV92" s="297" t="str">
        <f>[1]List1!$A$14</f>
        <v>3. kolo</v>
      </c>
      <c r="EW92" s="298"/>
      <c r="EX92" s="299"/>
      <c r="EY92" s="297" t="str">
        <f>[1]List1!$A$15</f>
        <v>4. kolo</v>
      </c>
      <c r="EZ92" s="298"/>
      <c r="FA92" s="299"/>
      <c r="FB92" s="297" t="str">
        <f>[1]List1!$A$16</f>
        <v>5. kolo</v>
      </c>
      <c r="FC92" s="298"/>
      <c r="FD92" s="299"/>
      <c r="FE92" s="297" t="str">
        <f>[1]List1!$B$16</f>
        <v>6. kolo</v>
      </c>
      <c r="FF92" s="298"/>
      <c r="FG92" s="299"/>
      <c r="FH92" s="297" t="str">
        <f>[1]List1!$B$15</f>
        <v>7. kolo</v>
      </c>
      <c r="FI92" s="298"/>
      <c r="FJ92" s="299"/>
      <c r="FK92" s="297" t="str">
        <f>[1]List1!$B$14</f>
        <v>8. kolo</v>
      </c>
      <c r="FL92" s="298"/>
      <c r="FM92" s="299"/>
      <c r="FT92" s="297" t="str">
        <f>[1]List1!$A$23</f>
        <v>1. repas</v>
      </c>
      <c r="FU92" s="298"/>
      <c r="FV92" s="299"/>
      <c r="FW92" s="297" t="str">
        <f>[1]List1!$A$24</f>
        <v>2. repas</v>
      </c>
      <c r="FX92" s="298"/>
      <c r="FY92" s="299"/>
      <c r="FZ92" s="297" t="str">
        <f>[1]List1!$A$25</f>
        <v>3. repas</v>
      </c>
      <c r="GA92" s="298"/>
      <c r="GB92" s="299"/>
      <c r="GY92" s="183" t="str">
        <f t="shared" si="378"/>
        <v/>
      </c>
      <c r="GZ92" s="122">
        <f t="shared" si="395"/>
        <v>13</v>
      </c>
      <c r="HB92" s="36" t="str">
        <f t="shared" si="396"/>
        <v/>
      </c>
      <c r="HC92" s="177" t="str">
        <f>GY86</f>
        <v/>
      </c>
      <c r="HD92" s="122">
        <f>HD90+1</f>
        <v>7</v>
      </c>
      <c r="HF92" s="153" t="str">
        <f>HB86</f>
        <v/>
      </c>
    </row>
    <row r="93" spans="1:214" ht="12.75" hidden="1" customHeight="1" x14ac:dyDescent="0.25">
      <c r="D93" s="37">
        <v>2</v>
      </c>
      <c r="F93" s="36">
        <f>IF(E9=$BQ$2,1,(IF(E9="",1,(IF(F9="",0,1)))))</f>
        <v>1</v>
      </c>
      <c r="G93" s="36"/>
      <c r="I93" s="36">
        <f>IF(H9=$BQ$2,1,(IF(H9="",1,(IF(I9="",0,1)))))</f>
        <v>1</v>
      </c>
      <c r="L93" s="36">
        <f>IF(K9=$BQ$2,1,(IF(K9="",1,(IF(L9="",0,1)))))</f>
        <v>1</v>
      </c>
      <c r="O93" s="36">
        <f>IF(N9=$BQ$2,1,(IF(N9="",1,(IF(O9="",0,1)))))</f>
        <v>1</v>
      </c>
      <c r="R93" s="36">
        <f>IF(Q9=$BQ$2,1,(IF(Q9="",1,(IF(R9="",0,1)))))</f>
        <v>1</v>
      </c>
      <c r="U93" s="36">
        <f>IF(T9=$BQ$2,1,(IF(T9="",1,(IF(U9="",0,1)))))</f>
        <v>1</v>
      </c>
      <c r="X93" s="36">
        <f>IF(W9=$BQ$2,1,(IF(W9="",1,(IF(X9="",0,1)))))</f>
        <v>1</v>
      </c>
      <c r="AF93" s="36">
        <f t="shared" si="414"/>
        <v>5</v>
      </c>
      <c r="AG93" s="36"/>
      <c r="AH93" s="36" t="str">
        <f t="shared" si="399"/>
        <v/>
      </c>
      <c r="AI93" s="36">
        <f t="shared" si="404"/>
        <v>0</v>
      </c>
      <c r="AJ93" s="36" t="str">
        <f t="shared" si="409"/>
        <v/>
      </c>
      <c r="AM93" s="36" t="str">
        <f t="shared" si="400"/>
        <v/>
      </c>
      <c r="AN93" s="36">
        <f t="shared" si="405"/>
        <v>0</v>
      </c>
      <c r="AO93" s="36" t="str">
        <f t="shared" si="410"/>
        <v/>
      </c>
      <c r="AR93" s="36" t="str">
        <f t="shared" si="401"/>
        <v/>
      </c>
      <c r="AS93" s="36">
        <f t="shared" si="406"/>
        <v>0</v>
      </c>
      <c r="AT93" s="36" t="str">
        <f t="shared" si="411"/>
        <v/>
      </c>
      <c r="AW93" s="36" t="str">
        <f t="shared" si="402"/>
        <v/>
      </c>
      <c r="AX93" s="36">
        <f t="shared" si="407"/>
        <v>0</v>
      </c>
      <c r="AY93" s="36" t="str">
        <f t="shared" si="412"/>
        <v/>
      </c>
      <c r="BB93" s="36" t="str">
        <f t="shared" si="403"/>
        <v/>
      </c>
      <c r="BC93" s="36">
        <f t="shared" si="408"/>
        <v>0</v>
      </c>
      <c r="BD93" s="36" t="str">
        <f t="shared" si="413"/>
        <v/>
      </c>
      <c r="BU93" s="36">
        <f t="shared" si="397"/>
        <v>13</v>
      </c>
      <c r="BV93" s="36">
        <f t="shared" si="398"/>
        <v>13</v>
      </c>
      <c r="BX93" s="63" t="str">
        <f>D31</f>
        <v/>
      </c>
      <c r="BY93" s="138">
        <f>IF(E31=$BQ$2,0,(IF(E31="",0,E31)))</f>
        <v>0</v>
      </c>
      <c r="BZ93" s="36">
        <f>F31</f>
        <v>0</v>
      </c>
      <c r="CA93" s="149">
        <f>F32</f>
        <v>0</v>
      </c>
      <c r="CB93" s="138">
        <f>IF(H31=$BQ$2,0,(IF(H31="",0,H31)))</f>
        <v>0</v>
      </c>
      <c r="CC93" s="36">
        <f>I31</f>
        <v>0</v>
      </c>
      <c r="CD93" s="149">
        <f>I32</f>
        <v>0</v>
      </c>
      <c r="CE93" s="138">
        <f>IF(K31=$BQ$2,0,(IF(K31="",0,K31)))</f>
        <v>0</v>
      </c>
      <c r="CF93" s="36">
        <f>L31</f>
        <v>0</v>
      </c>
      <c r="CG93" s="149">
        <f>L32</f>
        <v>0</v>
      </c>
      <c r="CH93" s="138">
        <f>IF(N31=$BQ$2,0,(IF(N31="",0,N31)))</f>
        <v>0</v>
      </c>
      <c r="CI93" s="36">
        <f>O31</f>
        <v>0</v>
      </c>
      <c r="CJ93" s="149">
        <f>O32</f>
        <v>0</v>
      </c>
      <c r="CK93" s="138">
        <f>IF(Q31=$BQ$2,0,(IF(Q31="",0,Q31)))</f>
        <v>0</v>
      </c>
      <c r="CL93" s="36">
        <f>R31</f>
        <v>0</v>
      </c>
      <c r="CM93" s="149">
        <f>R32</f>
        <v>0</v>
      </c>
      <c r="CN93" s="138">
        <f>IF(T31=$BQ$2,0,(IF(T31="",0,T31)))</f>
        <v>0</v>
      </c>
      <c r="CO93" s="36">
        <f>U31</f>
        <v>0</v>
      </c>
      <c r="CP93" s="149">
        <f>U32</f>
        <v>0</v>
      </c>
      <c r="CQ93" s="138">
        <f>IF(W31=$BQ$2,0,(IF(W31="",0,W31)))</f>
        <v>0</v>
      </c>
      <c r="CR93" s="36">
        <f>X31</f>
        <v>0</v>
      </c>
      <c r="CS93" s="149">
        <f>X32</f>
        <v>0</v>
      </c>
      <c r="CT93" s="138"/>
      <c r="CV93" s="149"/>
      <c r="DH93" s="36">
        <f t="shared" si="379"/>
        <v>99</v>
      </c>
      <c r="DI93" s="36">
        <f t="shared" si="380"/>
        <v>13</v>
      </c>
      <c r="DJ93" s="63" t="str">
        <f t="shared" si="375"/>
        <v/>
      </c>
      <c r="DK93" s="36">
        <f t="shared" si="381"/>
        <v>13</v>
      </c>
      <c r="DL93" s="138">
        <f t="shared" si="382"/>
        <v>0</v>
      </c>
      <c r="DM93" s="149">
        <f t="shared" si="383"/>
        <v>0</v>
      </c>
      <c r="DN93" s="138" t="str">
        <f>IF(AD31="","",1)</f>
        <v/>
      </c>
      <c r="DP93" s="36" t="str">
        <f t="shared" si="384"/>
        <v/>
      </c>
      <c r="DQ93" s="36">
        <f t="shared" si="385"/>
        <v>999</v>
      </c>
      <c r="DR93" s="36" t="str">
        <f>AC31</f>
        <v/>
      </c>
      <c r="DS93" s="36">
        <f t="shared" si="386"/>
        <v>0</v>
      </c>
      <c r="DT93" s="36">
        <f t="shared" si="387"/>
        <v>0</v>
      </c>
      <c r="DU93" s="36">
        <f t="shared" si="388"/>
        <v>0</v>
      </c>
      <c r="DV93" s="36">
        <f t="shared" si="389"/>
        <v>7</v>
      </c>
      <c r="DW93" s="36">
        <f>IF(DQ93=$BK$2,0,(IF(BP31&gt;1,1,0)))</f>
        <v>0</v>
      </c>
      <c r="DX93" s="296">
        <f t="shared" si="390"/>
        <v>10000000000.000999</v>
      </c>
      <c r="DY93" s="296"/>
      <c r="DZ93" s="296"/>
      <c r="EA93" s="53">
        <f t="shared" si="391"/>
        <v>15</v>
      </c>
      <c r="EB93" s="53"/>
      <c r="EC93" s="296">
        <f t="shared" si="392"/>
        <v>10000000000.000999</v>
      </c>
      <c r="ED93" s="296"/>
      <c r="EE93" s="296"/>
      <c r="EG93" s="36">
        <f t="shared" si="393"/>
        <v>15</v>
      </c>
      <c r="EJ93" s="36">
        <f t="shared" si="394"/>
        <v>0</v>
      </c>
      <c r="EM93" s="36" t="str">
        <f>AC31</f>
        <v/>
      </c>
      <c r="EN93" s="36">
        <f t="shared" si="376"/>
        <v>999</v>
      </c>
      <c r="EP93" s="306" t="str">
        <f>[1]List1!$F$15</f>
        <v>soupeř</v>
      </c>
      <c r="EQ93" s="303" t="str">
        <f>[1]List1!$B$28</f>
        <v>body</v>
      </c>
      <c r="ER93" s="300" t="str">
        <f>[1]List1!$B$29</f>
        <v>tech. body</v>
      </c>
      <c r="ES93" s="306" t="str">
        <f>[1]List1!$F$15</f>
        <v>soupeř</v>
      </c>
      <c r="ET93" s="303" t="str">
        <f>[1]List1!$B$28</f>
        <v>body</v>
      </c>
      <c r="EU93" s="300" t="str">
        <f>[1]List1!$B$29</f>
        <v>tech. body</v>
      </c>
      <c r="EV93" s="306" t="str">
        <f>[1]List1!$F$15</f>
        <v>soupeř</v>
      </c>
      <c r="EW93" s="303" t="str">
        <f>[1]List1!$B$28</f>
        <v>body</v>
      </c>
      <c r="EX93" s="300" t="str">
        <f>[1]List1!$B$29</f>
        <v>tech. body</v>
      </c>
      <c r="EY93" s="306" t="str">
        <f>[1]List1!$F$15</f>
        <v>soupeř</v>
      </c>
      <c r="EZ93" s="303" t="str">
        <f>[1]List1!$B$28</f>
        <v>body</v>
      </c>
      <c r="FA93" s="300" t="str">
        <f>[1]List1!$B$29</f>
        <v>tech. body</v>
      </c>
      <c r="FB93" s="306" t="str">
        <f>[1]List1!$F$15</f>
        <v>soupeř</v>
      </c>
      <c r="FC93" s="303" t="str">
        <f>[1]List1!$B$28</f>
        <v>body</v>
      </c>
      <c r="FD93" s="300" t="str">
        <f>[1]List1!$B$29</f>
        <v>tech. body</v>
      </c>
      <c r="FE93" s="306" t="str">
        <f>[1]List1!$F$15</f>
        <v>soupeř</v>
      </c>
      <c r="FF93" s="303" t="str">
        <f>[1]List1!$B$28</f>
        <v>body</v>
      </c>
      <c r="FG93" s="300" t="str">
        <f>[1]List1!$B$29</f>
        <v>tech. body</v>
      </c>
      <c r="FH93" s="306" t="str">
        <f>[1]List1!$F$15</f>
        <v>soupeř</v>
      </c>
      <c r="FI93" s="303" t="str">
        <f>[1]List1!$B$28</f>
        <v>body</v>
      </c>
      <c r="FJ93" s="300" t="str">
        <f>[1]List1!$B$29</f>
        <v>tech. body</v>
      </c>
      <c r="FK93" s="306" t="str">
        <f>[1]List1!$F$15</f>
        <v>soupeř</v>
      </c>
      <c r="FL93" s="303" t="str">
        <f>[1]List1!$B$28</f>
        <v>body</v>
      </c>
      <c r="FM93" s="300" t="str">
        <f>[1]List1!$B$29</f>
        <v>tech. body</v>
      </c>
      <c r="FS93" s="310" t="str">
        <f>FS77</f>
        <v>los</v>
      </c>
      <c r="FT93" s="306" t="str">
        <f>[1]List1!$F$15</f>
        <v>soupeř</v>
      </c>
      <c r="FU93" s="303" t="str">
        <f>[1]List1!$B$28</f>
        <v>body</v>
      </c>
      <c r="FV93" s="300" t="str">
        <f>[1]List1!$B$29</f>
        <v>tech. body</v>
      </c>
      <c r="FW93" s="306" t="str">
        <f>[1]List1!$F$15</f>
        <v>soupeř</v>
      </c>
      <c r="FX93" s="303" t="str">
        <f>[1]List1!$B$28</f>
        <v>body</v>
      </c>
      <c r="FY93" s="300" t="str">
        <f>[1]List1!$B$29</f>
        <v>tech. body</v>
      </c>
      <c r="FZ93" s="306" t="str">
        <f>[1]List1!$F$15</f>
        <v>soupeř</v>
      </c>
      <c r="GA93" s="303" t="str">
        <f>[1]List1!$B$28</f>
        <v>body</v>
      </c>
      <c r="GB93" s="300" t="str">
        <f>[1]List1!$B$29</f>
        <v>tech. body</v>
      </c>
      <c r="GD93" s="306" t="str">
        <f>FL93</f>
        <v>body</v>
      </c>
      <c r="GE93" s="300" t="str">
        <f>FM93</f>
        <v>tech. body</v>
      </c>
      <c r="GY93" s="183" t="str">
        <f t="shared" si="378"/>
        <v/>
      </c>
      <c r="GZ93" s="122">
        <f t="shared" si="395"/>
        <v>14</v>
      </c>
      <c r="HB93" s="36" t="str">
        <f t="shared" si="396"/>
        <v/>
      </c>
      <c r="HC93" s="177"/>
      <c r="HD93" s="122"/>
      <c r="HF93" s="153"/>
    </row>
    <row r="94" spans="1:214" ht="12.75" hidden="1" customHeight="1" x14ac:dyDescent="0.25">
      <c r="D94" s="37"/>
      <c r="F94" s="36">
        <f>IF(E9=$BQ$2,1,(IF(E9="",1,(IF(F10="",0,1)))))</f>
        <v>1</v>
      </c>
      <c r="G94" s="36"/>
      <c r="I94" s="36">
        <f>IF(H9=$BQ$2,1,(IF(H9="",1,(IF(I10="",0,1)))))</f>
        <v>1</v>
      </c>
      <c r="L94" s="36">
        <f>IF(K9=$BQ$2,1,(IF(K9="",1,(IF(L10="",0,1)))))</f>
        <v>1</v>
      </c>
      <c r="O94" s="36">
        <f>IF(N9=$BQ$2,1,(IF(N9="",1,(IF(O10="",0,1)))))</f>
        <v>1</v>
      </c>
      <c r="R94" s="36">
        <f>IF(Q9=$BQ$2,1,(IF(Q9="",1,(IF(R10="",0,1)))))</f>
        <v>1</v>
      </c>
      <c r="U94" s="36">
        <f>IF(T9=$BQ$2,1,(IF(T9="",1,(IF(U10="",0,1)))))</f>
        <v>1</v>
      </c>
      <c r="X94" s="36">
        <f>IF(W9=$BQ$2,1,(IF(W9="",1,(IF(X10="",0,1)))))</f>
        <v>1</v>
      </c>
      <c r="AF94" s="36">
        <f t="shared" si="414"/>
        <v>6</v>
      </c>
      <c r="AG94" s="36"/>
      <c r="AH94" s="36" t="str">
        <f t="shared" si="399"/>
        <v/>
      </c>
      <c r="AI94" s="36">
        <f t="shared" si="404"/>
        <v>0</v>
      </c>
      <c r="AJ94" s="36" t="str">
        <f t="shared" si="409"/>
        <v/>
      </c>
      <c r="AM94" s="36" t="str">
        <f t="shared" si="400"/>
        <v/>
      </c>
      <c r="AN94" s="36">
        <f t="shared" si="405"/>
        <v>0</v>
      </c>
      <c r="AO94" s="36" t="str">
        <f t="shared" si="410"/>
        <v/>
      </c>
      <c r="AR94" s="36" t="str">
        <f t="shared" si="401"/>
        <v/>
      </c>
      <c r="AS94" s="36">
        <f t="shared" si="406"/>
        <v>0</v>
      </c>
      <c r="AT94" s="36" t="str">
        <f t="shared" si="411"/>
        <v/>
      </c>
      <c r="AW94" s="36" t="str">
        <f t="shared" si="402"/>
        <v/>
      </c>
      <c r="AX94" s="36">
        <f t="shared" si="407"/>
        <v>0</v>
      </c>
      <c r="AY94" s="36" t="str">
        <f t="shared" si="412"/>
        <v/>
      </c>
      <c r="BB94" s="36" t="str">
        <f t="shared" si="403"/>
        <v/>
      </c>
      <c r="BC94" s="36">
        <f t="shared" si="408"/>
        <v>0</v>
      </c>
      <c r="BD94" s="36" t="str">
        <f t="shared" si="413"/>
        <v/>
      </c>
      <c r="BU94" s="36">
        <f t="shared" si="397"/>
        <v>14</v>
      </c>
      <c r="BV94" s="36">
        <f t="shared" si="398"/>
        <v>14</v>
      </c>
      <c r="BX94" s="63" t="str">
        <f>D33</f>
        <v/>
      </c>
      <c r="BY94" s="138">
        <f>IF(E33=$BQ$2,0,(IF(E33="",0,E33)))</f>
        <v>0</v>
      </c>
      <c r="BZ94" s="36">
        <f>F33</f>
        <v>0</v>
      </c>
      <c r="CA94" s="149">
        <f>F34</f>
        <v>0</v>
      </c>
      <c r="CB94" s="138">
        <f>IF(H33=$BQ$2,0,(IF(H33="",0,H33)))</f>
        <v>0</v>
      </c>
      <c r="CC94" s="36">
        <f>I33</f>
        <v>0</v>
      </c>
      <c r="CD94" s="149">
        <f>I34</f>
        <v>0</v>
      </c>
      <c r="CE94" s="138">
        <f>IF(K33=$BQ$2,0,(IF(K33="",0,K33)))</f>
        <v>0</v>
      </c>
      <c r="CF94" s="36">
        <f>L33</f>
        <v>0</v>
      </c>
      <c r="CG94" s="149">
        <f>L34</f>
        <v>0</v>
      </c>
      <c r="CH94" s="138">
        <f>IF(N33=$BQ$2,0,(IF(N33="",0,N33)))</f>
        <v>0</v>
      </c>
      <c r="CI94" s="36">
        <f>O33</f>
        <v>0</v>
      </c>
      <c r="CJ94" s="149">
        <f>O34</f>
        <v>0</v>
      </c>
      <c r="CK94" s="138">
        <f>IF(Q33=$BQ$2,0,(IF(Q33="",0,Q33)))</f>
        <v>0</v>
      </c>
      <c r="CL94" s="36">
        <f>R33</f>
        <v>0</v>
      </c>
      <c r="CM94" s="149">
        <f>R34</f>
        <v>0</v>
      </c>
      <c r="CN94" s="138">
        <f>IF(T33=$BQ$2,0,(IF(T33="",0,T33)))</f>
        <v>0</v>
      </c>
      <c r="CO94" s="36">
        <f>U33</f>
        <v>0</v>
      </c>
      <c r="CP94" s="149">
        <f>U34</f>
        <v>0</v>
      </c>
      <c r="CQ94" s="138">
        <f>IF(W33=$BQ$2,0,(IF(W33="",0,W33)))</f>
        <v>0</v>
      </c>
      <c r="CR94" s="36">
        <f>X33</f>
        <v>0</v>
      </c>
      <c r="CS94" s="149">
        <f>X34</f>
        <v>0</v>
      </c>
      <c r="CT94" s="138"/>
      <c r="CV94" s="149"/>
      <c r="DH94" s="36">
        <f t="shared" si="379"/>
        <v>99</v>
      </c>
      <c r="DI94" s="36">
        <f t="shared" si="380"/>
        <v>14</v>
      </c>
      <c r="DJ94" s="63" t="str">
        <f t="shared" si="375"/>
        <v/>
      </c>
      <c r="DK94" s="36">
        <f t="shared" si="381"/>
        <v>14</v>
      </c>
      <c r="DL94" s="138">
        <f t="shared" si="382"/>
        <v>0</v>
      </c>
      <c r="DM94" s="149">
        <f t="shared" si="383"/>
        <v>0</v>
      </c>
      <c r="DN94" s="138" t="str">
        <f>IF(AD33="","",1)</f>
        <v/>
      </c>
      <c r="DP94" s="36" t="str">
        <f t="shared" si="384"/>
        <v/>
      </c>
      <c r="DQ94" s="36">
        <f t="shared" si="385"/>
        <v>999</v>
      </c>
      <c r="DR94" s="36" t="str">
        <f>AC33</f>
        <v/>
      </c>
      <c r="DS94" s="36">
        <f t="shared" si="386"/>
        <v>0</v>
      </c>
      <c r="DT94" s="36">
        <f t="shared" si="387"/>
        <v>0</v>
      </c>
      <c r="DU94" s="36">
        <f t="shared" si="388"/>
        <v>0</v>
      </c>
      <c r="DV94" s="36">
        <f t="shared" si="389"/>
        <v>7</v>
      </c>
      <c r="DW94" s="36">
        <f>IF(DQ94=$BK$2,0,(IF(BP33&gt;1,1,0)))</f>
        <v>0</v>
      </c>
      <c r="DX94" s="296">
        <f t="shared" si="390"/>
        <v>10000000000.000999</v>
      </c>
      <c r="DY94" s="296"/>
      <c r="DZ94" s="296"/>
      <c r="EA94" s="53">
        <f t="shared" si="391"/>
        <v>15</v>
      </c>
      <c r="EB94" s="53"/>
      <c r="EC94" s="296">
        <f t="shared" si="392"/>
        <v>10000000000.000999</v>
      </c>
      <c r="ED94" s="296"/>
      <c r="EE94" s="296"/>
      <c r="EG94" s="36">
        <f t="shared" si="393"/>
        <v>15</v>
      </c>
      <c r="EJ94" s="36">
        <f t="shared" si="394"/>
        <v>0</v>
      </c>
      <c r="EM94" s="36" t="str">
        <f>AC33</f>
        <v/>
      </c>
      <c r="EN94" s="36">
        <f t="shared" si="376"/>
        <v>999</v>
      </c>
      <c r="EP94" s="307"/>
      <c r="EQ94" s="304"/>
      <c r="ER94" s="301"/>
      <c r="ES94" s="307"/>
      <c r="ET94" s="304"/>
      <c r="EU94" s="301"/>
      <c r="EV94" s="307"/>
      <c r="EW94" s="304"/>
      <c r="EX94" s="301"/>
      <c r="EY94" s="307"/>
      <c r="EZ94" s="304"/>
      <c r="FA94" s="301"/>
      <c r="FB94" s="307"/>
      <c r="FC94" s="304"/>
      <c r="FD94" s="301"/>
      <c r="FE94" s="307"/>
      <c r="FF94" s="304"/>
      <c r="FG94" s="301"/>
      <c r="FH94" s="307"/>
      <c r="FI94" s="304"/>
      <c r="FJ94" s="301"/>
      <c r="FK94" s="307"/>
      <c r="FL94" s="304"/>
      <c r="FM94" s="301"/>
      <c r="FS94" s="311"/>
      <c r="FT94" s="307"/>
      <c r="FU94" s="304"/>
      <c r="FV94" s="301"/>
      <c r="FW94" s="307"/>
      <c r="FX94" s="304"/>
      <c r="FY94" s="301"/>
      <c r="FZ94" s="307"/>
      <c r="GA94" s="304"/>
      <c r="GB94" s="301"/>
      <c r="GD94" s="307"/>
      <c r="GE94" s="301"/>
      <c r="GY94" s="183" t="str">
        <f t="shared" si="378"/>
        <v/>
      </c>
      <c r="GZ94" s="122">
        <f t="shared" si="395"/>
        <v>15</v>
      </c>
      <c r="HB94" s="36" t="str">
        <f t="shared" si="396"/>
        <v/>
      </c>
      <c r="HC94" s="177" t="str">
        <f>GY87</f>
        <v/>
      </c>
      <c r="HD94" s="122">
        <f>HD92+1</f>
        <v>8</v>
      </c>
      <c r="HF94" s="153" t="str">
        <f>HB87</f>
        <v/>
      </c>
    </row>
    <row r="95" spans="1:214" ht="12.75" hidden="1" customHeight="1" x14ac:dyDescent="0.25">
      <c r="D95" s="37">
        <v>3</v>
      </c>
      <c r="F95" s="36">
        <f>IF(E11=$BQ$2,1,(IF(E11="",1,(IF(F11="",0,1)))))</f>
        <v>1</v>
      </c>
      <c r="I95" s="36">
        <f>IF(H11=$BQ$2,1,(IF(H11="",1,(IF(I11="",0,1)))))</f>
        <v>1</v>
      </c>
      <c r="L95" s="36">
        <f>IF(K11=$BQ$2,1,(IF(K11="",1,(IF(L11="",0,1)))))</f>
        <v>1</v>
      </c>
      <c r="O95" s="36">
        <f>IF(N11=$BQ$2,1,(IF(N11="",1,(IF(O11="",0,1)))))</f>
        <v>1</v>
      </c>
      <c r="R95" s="36">
        <f>IF(Q11=$BQ$2,1,(IF(Q11="",1,(IF(R11="",0,1)))))</f>
        <v>1</v>
      </c>
      <c r="U95" s="36">
        <f>IF(T11=$BQ$2,1,(IF(T11="",1,(IF(U11="",0,1)))))</f>
        <v>1</v>
      </c>
      <c r="X95" s="36">
        <f>IF(W11=$BQ$2,1,(IF(W11="",1,(IF(X11="",0,1)))))</f>
        <v>1</v>
      </c>
      <c r="AF95" s="36">
        <f t="shared" si="414"/>
        <v>7</v>
      </c>
      <c r="AG95" s="36"/>
      <c r="AH95" s="36" t="str">
        <f t="shared" si="399"/>
        <v/>
      </c>
      <c r="AI95" s="36">
        <f t="shared" si="404"/>
        <v>0</v>
      </c>
      <c r="AJ95" s="36" t="str">
        <f t="shared" si="409"/>
        <v/>
      </c>
      <c r="AM95" s="36" t="str">
        <f t="shared" si="400"/>
        <v/>
      </c>
      <c r="AN95" s="36">
        <f t="shared" si="405"/>
        <v>0</v>
      </c>
      <c r="AO95" s="36" t="str">
        <f t="shared" si="410"/>
        <v/>
      </c>
      <c r="AR95" s="36" t="str">
        <f t="shared" si="401"/>
        <v/>
      </c>
      <c r="AS95" s="36">
        <f t="shared" si="406"/>
        <v>0</v>
      </c>
      <c r="AT95" s="36" t="str">
        <f t="shared" si="411"/>
        <v/>
      </c>
      <c r="AW95" s="36" t="str">
        <f t="shared" si="402"/>
        <v/>
      </c>
      <c r="AX95" s="36">
        <f t="shared" si="407"/>
        <v>0</v>
      </c>
      <c r="AY95" s="36" t="str">
        <f t="shared" si="412"/>
        <v/>
      </c>
      <c r="BB95" s="36" t="str">
        <f t="shared" si="403"/>
        <v/>
      </c>
      <c r="BC95" s="36">
        <f t="shared" si="408"/>
        <v>0</v>
      </c>
      <c r="BD95" s="36" t="str">
        <f t="shared" si="413"/>
        <v/>
      </c>
      <c r="BU95" s="36">
        <f t="shared" si="397"/>
        <v>15</v>
      </c>
      <c r="BV95" s="36">
        <f t="shared" si="398"/>
        <v>15</v>
      </c>
      <c r="BX95" s="63" t="str">
        <f>D35</f>
        <v/>
      </c>
      <c r="BY95" s="138">
        <f>IF(E35=$BQ$2,0,(IF(E35="",0,E35)))</f>
        <v>0</v>
      </c>
      <c r="BZ95" s="36">
        <f>F35</f>
        <v>0</v>
      </c>
      <c r="CA95" s="149">
        <f>F36</f>
        <v>0</v>
      </c>
      <c r="CB95" s="138">
        <f>IF(H35=$BQ$2,0,(IF(H35="",0,H35)))</f>
        <v>0</v>
      </c>
      <c r="CC95" s="36">
        <f>I35</f>
        <v>0</v>
      </c>
      <c r="CD95" s="149">
        <f>I36</f>
        <v>0</v>
      </c>
      <c r="CE95" s="138">
        <f>IF(K35=$BQ$2,0,(IF(K35="",0,K35)))</f>
        <v>0</v>
      </c>
      <c r="CF95" s="36">
        <f>L35</f>
        <v>0</v>
      </c>
      <c r="CG95" s="149">
        <f>L36</f>
        <v>0</v>
      </c>
      <c r="CH95" s="138">
        <f>IF(N35=$BQ$2,0,(IF(N35="",0,N35)))</f>
        <v>0</v>
      </c>
      <c r="CI95" s="36">
        <f>O35</f>
        <v>0</v>
      </c>
      <c r="CJ95" s="149">
        <f>O36</f>
        <v>0</v>
      </c>
      <c r="CK95" s="138">
        <f>IF(Q35=$BQ$2,0,(IF(Q35="",0,Q35)))</f>
        <v>0</v>
      </c>
      <c r="CL95" s="36">
        <f>R35</f>
        <v>0</v>
      </c>
      <c r="CM95" s="149">
        <f>R36</f>
        <v>0</v>
      </c>
      <c r="CN95" s="138">
        <f>IF(T35=$BQ$2,0,(IF(T35="",0,T35)))</f>
        <v>0</v>
      </c>
      <c r="CO95" s="36">
        <f>U35</f>
        <v>0</v>
      </c>
      <c r="CP95" s="149">
        <f>U36</f>
        <v>0</v>
      </c>
      <c r="CQ95" s="138">
        <f>IF(W35=$BQ$2,0,(IF(W35="",0,W35)))</f>
        <v>0</v>
      </c>
      <c r="CR95" s="36">
        <f>X35</f>
        <v>0</v>
      </c>
      <c r="CS95" s="149">
        <f>X36</f>
        <v>0</v>
      </c>
      <c r="CT95" s="138"/>
      <c r="CV95" s="149"/>
      <c r="DH95" s="36">
        <f t="shared" si="379"/>
        <v>99</v>
      </c>
      <c r="DI95" s="36">
        <f t="shared" si="380"/>
        <v>15</v>
      </c>
      <c r="DJ95" s="63" t="str">
        <f t="shared" si="375"/>
        <v/>
      </c>
      <c r="DK95" s="36">
        <f t="shared" si="381"/>
        <v>15</v>
      </c>
      <c r="DL95" s="138">
        <f t="shared" si="382"/>
        <v>0</v>
      </c>
      <c r="DM95" s="149">
        <f t="shared" si="383"/>
        <v>0</v>
      </c>
      <c r="DN95" s="138" t="str">
        <f>IF(AD35="","",1)</f>
        <v/>
      </c>
      <c r="DP95" s="36" t="str">
        <f t="shared" si="384"/>
        <v/>
      </c>
      <c r="DQ95" s="36">
        <f t="shared" si="385"/>
        <v>999</v>
      </c>
      <c r="DR95" s="36" t="str">
        <f>AC35</f>
        <v/>
      </c>
      <c r="DS95" s="36">
        <f t="shared" si="386"/>
        <v>0</v>
      </c>
      <c r="DT95" s="36">
        <f t="shared" si="387"/>
        <v>0</v>
      </c>
      <c r="DU95" s="36">
        <f t="shared" si="388"/>
        <v>0</v>
      </c>
      <c r="DV95" s="36">
        <f t="shared" si="389"/>
        <v>7</v>
      </c>
      <c r="DW95" s="36">
        <f>IF(DQ95=$BK$2,0,(IF(BP35&gt;1,1,0)))</f>
        <v>0</v>
      </c>
      <c r="DX95" s="296">
        <f t="shared" si="390"/>
        <v>10000000000.000999</v>
      </c>
      <c r="DY95" s="296"/>
      <c r="DZ95" s="296"/>
      <c r="EA95" s="53">
        <f t="shared" si="391"/>
        <v>15</v>
      </c>
      <c r="EB95" s="53"/>
      <c r="EC95" s="296">
        <f t="shared" si="392"/>
        <v>10000000000.000999</v>
      </c>
      <c r="ED95" s="296"/>
      <c r="EE95" s="296"/>
      <c r="EG95" s="36">
        <f t="shared" si="393"/>
        <v>15</v>
      </c>
      <c r="EJ95" s="36">
        <f t="shared" si="394"/>
        <v>0</v>
      </c>
      <c r="EM95" s="36" t="str">
        <f>AC35</f>
        <v/>
      </c>
      <c r="EN95" s="36">
        <f t="shared" si="376"/>
        <v>999</v>
      </c>
      <c r="EP95" s="307"/>
      <c r="EQ95" s="304"/>
      <c r="ER95" s="301"/>
      <c r="ES95" s="307"/>
      <c r="ET95" s="304"/>
      <c r="EU95" s="301"/>
      <c r="EV95" s="307"/>
      <c r="EW95" s="304"/>
      <c r="EX95" s="301"/>
      <c r="EY95" s="307"/>
      <c r="EZ95" s="304"/>
      <c r="FA95" s="301"/>
      <c r="FB95" s="307"/>
      <c r="FC95" s="304"/>
      <c r="FD95" s="301"/>
      <c r="FE95" s="307"/>
      <c r="FF95" s="304"/>
      <c r="FG95" s="301"/>
      <c r="FH95" s="307"/>
      <c r="FI95" s="304"/>
      <c r="FJ95" s="301"/>
      <c r="FK95" s="307"/>
      <c r="FL95" s="304"/>
      <c r="FM95" s="301"/>
      <c r="FS95" s="311"/>
      <c r="FT95" s="307"/>
      <c r="FU95" s="304"/>
      <c r="FV95" s="301"/>
      <c r="FW95" s="307"/>
      <c r="FX95" s="304"/>
      <c r="FY95" s="301"/>
      <c r="FZ95" s="307"/>
      <c r="GA95" s="304"/>
      <c r="GB95" s="301"/>
      <c r="GD95" s="307"/>
      <c r="GE95" s="301"/>
      <c r="GH95" s="36">
        <f>FS97</f>
        <v>4</v>
      </c>
      <c r="GI95" s="36">
        <f>FS98</f>
        <v>5</v>
      </c>
      <c r="GK95" s="288" t="str">
        <f>GK77</f>
        <v>1. repas</v>
      </c>
      <c r="GL95" s="288"/>
      <c r="GY95" s="210" t="str">
        <f t="shared" si="378"/>
        <v/>
      </c>
      <c r="GZ95" s="123">
        <f t="shared" si="395"/>
        <v>16</v>
      </c>
      <c r="HA95" s="83"/>
      <c r="HB95" s="181" t="str">
        <f t="shared" si="396"/>
        <v/>
      </c>
      <c r="HC95" s="177"/>
      <c r="HD95" s="122"/>
      <c r="HF95" s="153"/>
    </row>
    <row r="96" spans="1:214" ht="12.75" hidden="1" customHeight="1" x14ac:dyDescent="0.25">
      <c r="D96" s="37"/>
      <c r="F96" s="36">
        <f>IF(E11=$BQ$2,1,(IF(E11="",1,(IF(F12="",0,1)))))</f>
        <v>1</v>
      </c>
      <c r="I96" s="36">
        <f>IF(H11=$BQ$2,1,(IF(H11="",1,(IF(I12="",0,1)))))</f>
        <v>1</v>
      </c>
      <c r="L96" s="36">
        <f>IF(K11=$BQ$2,1,(IF(K11="",1,(IF(L12="",0,1)))))</f>
        <v>1</v>
      </c>
      <c r="O96" s="36">
        <f>IF(N11=$BQ$2,1,(IF(N11="",1,(IF(O12="",0,1)))))</f>
        <v>1</v>
      </c>
      <c r="R96" s="36">
        <f>IF(Q11=$BQ$2,1,(IF(Q11="",1,(IF(R12="",0,1)))))</f>
        <v>1</v>
      </c>
      <c r="U96" s="36">
        <f>IF(T11=$BQ$2,1,(IF(T11="",1,(IF(U12="",0,1)))))</f>
        <v>1</v>
      </c>
      <c r="X96" s="36">
        <f>IF(W11=$BQ$2,1,(IF(W11="",1,(IF(X12="",0,1)))))</f>
        <v>1</v>
      </c>
      <c r="AF96" s="36">
        <f t="shared" si="414"/>
        <v>8</v>
      </c>
      <c r="AG96" s="36"/>
      <c r="AH96" s="36" t="str">
        <f t="shared" si="399"/>
        <v/>
      </c>
      <c r="AI96" s="36">
        <f t="shared" si="404"/>
        <v>0</v>
      </c>
      <c r="AJ96" s="36" t="str">
        <f t="shared" si="409"/>
        <v/>
      </c>
      <c r="AM96" s="36" t="str">
        <f t="shared" si="400"/>
        <v/>
      </c>
      <c r="AN96" s="36">
        <f t="shared" si="405"/>
        <v>0</v>
      </c>
      <c r="AO96" s="36" t="str">
        <f t="shared" si="410"/>
        <v/>
      </c>
      <c r="AR96" s="36" t="str">
        <f t="shared" si="401"/>
        <v/>
      </c>
      <c r="AS96" s="36">
        <f t="shared" si="406"/>
        <v>0</v>
      </c>
      <c r="AT96" s="36" t="str">
        <f t="shared" si="411"/>
        <v/>
      </c>
      <c r="AW96" s="36" t="str">
        <f t="shared" si="402"/>
        <v/>
      </c>
      <c r="AX96" s="36">
        <f t="shared" si="407"/>
        <v>0</v>
      </c>
      <c r="AY96" s="36" t="str">
        <f t="shared" si="412"/>
        <v/>
      </c>
      <c r="BB96" s="36" t="str">
        <f t="shared" si="403"/>
        <v/>
      </c>
      <c r="BC96" s="36">
        <f t="shared" si="408"/>
        <v>0</v>
      </c>
      <c r="BD96" s="36" t="str">
        <f t="shared" si="413"/>
        <v/>
      </c>
      <c r="BU96" s="36">
        <f t="shared" si="397"/>
        <v>16</v>
      </c>
      <c r="BV96" s="83">
        <f t="shared" si="398"/>
        <v>16</v>
      </c>
      <c r="BW96" s="83"/>
      <c r="BX96" s="213" t="str">
        <f>D37</f>
        <v/>
      </c>
      <c r="BY96" s="142">
        <f>IF(E37=$BQ$2,0,(IF(E37="",0,E37)))</f>
        <v>0</v>
      </c>
      <c r="BZ96" s="83">
        <f>F37</f>
        <v>0</v>
      </c>
      <c r="CA96" s="143">
        <f>F38</f>
        <v>0</v>
      </c>
      <c r="CB96" s="142">
        <f>IF(H37=$BQ$2,0,(IF(H37="",0,H37)))</f>
        <v>0</v>
      </c>
      <c r="CC96" s="83">
        <f>I37</f>
        <v>0</v>
      </c>
      <c r="CD96" s="143">
        <f>I38</f>
        <v>0</v>
      </c>
      <c r="CE96" s="142">
        <f>IF(K37=$BQ$2,0,(IF(K37="",0,K37)))</f>
        <v>0</v>
      </c>
      <c r="CF96" s="83">
        <f>L37</f>
        <v>0</v>
      </c>
      <c r="CG96" s="143">
        <f>L38</f>
        <v>0</v>
      </c>
      <c r="CH96" s="142">
        <f>IF(N37=$BQ$2,0,(IF(N37="",0,N37)))</f>
        <v>0</v>
      </c>
      <c r="CI96" s="83">
        <f>O37</f>
        <v>0</v>
      </c>
      <c r="CJ96" s="143">
        <f>O38</f>
        <v>0</v>
      </c>
      <c r="CK96" s="142">
        <f>IF(Q37=$BQ$2,0,(IF(Q37="",0,Q37)))</f>
        <v>0</v>
      </c>
      <c r="CL96" s="83">
        <f>R37</f>
        <v>0</v>
      </c>
      <c r="CM96" s="143">
        <f>R38</f>
        <v>0</v>
      </c>
      <c r="CN96" s="142">
        <f>IF(T37=$BQ$2,0,(IF(T37="",0,T37)))</f>
        <v>0</v>
      </c>
      <c r="CO96" s="83">
        <f>U37</f>
        <v>0</v>
      </c>
      <c r="CP96" s="143">
        <f>U38</f>
        <v>0</v>
      </c>
      <c r="CQ96" s="142">
        <f>IF(W37=$BQ$2,0,(IF(W37="",0,W37)))</f>
        <v>0</v>
      </c>
      <c r="CR96" s="83">
        <f>X37</f>
        <v>0</v>
      </c>
      <c r="CS96" s="143">
        <f>X38</f>
        <v>0</v>
      </c>
      <c r="CT96" s="142"/>
      <c r="CU96" s="83"/>
      <c r="CV96" s="143"/>
      <c r="DH96" s="36">
        <f t="shared" si="379"/>
        <v>99</v>
      </c>
      <c r="DI96" s="36">
        <f t="shared" si="380"/>
        <v>16</v>
      </c>
      <c r="DJ96" s="63" t="str">
        <f t="shared" si="375"/>
        <v/>
      </c>
      <c r="DK96" s="143">
        <f t="shared" si="381"/>
        <v>16</v>
      </c>
      <c r="DL96" s="142">
        <f t="shared" si="382"/>
        <v>0</v>
      </c>
      <c r="DM96" s="143">
        <f t="shared" si="383"/>
        <v>0</v>
      </c>
      <c r="DN96" s="138" t="str">
        <f>IF(AD37="","",1)</f>
        <v/>
      </c>
      <c r="DO96" s="36">
        <f>LARGE(DP81:DP96,1)</f>
        <v>3</v>
      </c>
      <c r="DP96" s="36" t="str">
        <f t="shared" si="384"/>
        <v/>
      </c>
      <c r="DQ96" s="83">
        <f t="shared" si="385"/>
        <v>999</v>
      </c>
      <c r="DR96" s="36" t="str">
        <f>AC37</f>
        <v/>
      </c>
      <c r="DS96" s="83">
        <f t="shared" si="386"/>
        <v>0</v>
      </c>
      <c r="DT96" s="83">
        <f t="shared" si="387"/>
        <v>0</v>
      </c>
      <c r="DU96" s="83">
        <f t="shared" si="388"/>
        <v>0</v>
      </c>
      <c r="DV96" s="83">
        <f t="shared" si="389"/>
        <v>7</v>
      </c>
      <c r="DW96" s="83">
        <f>IF(DQ96=$BK$2,0,(IF(BP37&gt;1,1,0)))</f>
        <v>0</v>
      </c>
      <c r="DX96" s="296">
        <f t="shared" si="390"/>
        <v>10000000000.000999</v>
      </c>
      <c r="DY96" s="296"/>
      <c r="DZ96" s="296"/>
      <c r="EA96" s="53">
        <f t="shared" si="391"/>
        <v>15</v>
      </c>
      <c r="EB96" s="188"/>
      <c r="EC96" s="397">
        <f t="shared" si="392"/>
        <v>10000000000.000999</v>
      </c>
      <c r="ED96" s="397"/>
      <c r="EE96" s="397"/>
      <c r="EF96" s="83"/>
      <c r="EG96" s="83">
        <f t="shared" si="393"/>
        <v>15</v>
      </c>
      <c r="EH96" s="83"/>
      <c r="EI96" s="83"/>
      <c r="EJ96" s="36">
        <f t="shared" si="394"/>
        <v>0</v>
      </c>
      <c r="EK96" s="83"/>
      <c r="EL96" s="83"/>
      <c r="EM96" s="36" t="str">
        <f>AC37</f>
        <v/>
      </c>
      <c r="EN96" s="36">
        <f t="shared" si="376"/>
        <v>999</v>
      </c>
      <c r="EP96" s="308"/>
      <c r="EQ96" s="305"/>
      <c r="ER96" s="302"/>
      <c r="ES96" s="308"/>
      <c r="ET96" s="305"/>
      <c r="EU96" s="302"/>
      <c r="EV96" s="308"/>
      <c r="EW96" s="305"/>
      <c r="EX96" s="302"/>
      <c r="EY96" s="308"/>
      <c r="EZ96" s="305"/>
      <c r="FA96" s="302"/>
      <c r="FB96" s="308"/>
      <c r="FC96" s="305"/>
      <c r="FD96" s="302"/>
      <c r="FE96" s="308"/>
      <c r="FF96" s="305"/>
      <c r="FG96" s="302"/>
      <c r="FH96" s="308"/>
      <c r="FI96" s="305"/>
      <c r="FJ96" s="302"/>
      <c r="FK96" s="308"/>
      <c r="FL96" s="305"/>
      <c r="FM96" s="302"/>
      <c r="FS96" s="312"/>
      <c r="FT96" s="308"/>
      <c r="FU96" s="305"/>
      <c r="FV96" s="302"/>
      <c r="FW96" s="308"/>
      <c r="FX96" s="305"/>
      <c r="FY96" s="302"/>
      <c r="FZ96" s="308"/>
      <c r="GA96" s="305"/>
      <c r="GB96" s="302"/>
      <c r="GD96" s="308"/>
      <c r="GE96" s="302"/>
      <c r="GH96" s="36">
        <f>FS99</f>
        <v>6</v>
      </c>
      <c r="GI96" s="36">
        <f>FS97</f>
        <v>4</v>
      </c>
      <c r="GY96" s="211">
        <f t="shared" si="378"/>
        <v>4</v>
      </c>
      <c r="GZ96" s="121">
        <f t="shared" si="395"/>
        <v>17</v>
      </c>
      <c r="HA96" s="85"/>
      <c r="HB96" s="182" t="str">
        <f t="shared" si="396"/>
        <v>F</v>
      </c>
      <c r="HC96" s="177" t="str">
        <f>GY88</f>
        <v/>
      </c>
      <c r="HD96" s="122">
        <f>HD94+1</f>
        <v>9</v>
      </c>
      <c r="HF96" s="153" t="str">
        <f>HB88</f>
        <v/>
      </c>
    </row>
    <row r="97" spans="1:214" ht="12.75" hidden="1" customHeight="1" x14ac:dyDescent="0.25">
      <c r="D97" s="37">
        <v>4</v>
      </c>
      <c r="F97" s="36">
        <f>IF(E13=$BQ$2,1,(IF(E13="",1,(IF(F13="",0,1)))))</f>
        <v>1</v>
      </c>
      <c r="I97" s="36">
        <f>IF(H13=$BQ$2,1,(IF(H13="",1,(IF(I13="",0,1)))))</f>
        <v>1</v>
      </c>
      <c r="L97" s="36">
        <f>IF(K13=$BQ$2,1,(IF(K13="",1,(IF(L13="",0,1)))))</f>
        <v>1</v>
      </c>
      <c r="O97" s="36">
        <f>IF(N13=$BQ$2,1,(IF(N13="",1,(IF(O13="",0,1)))))</f>
        <v>1</v>
      </c>
      <c r="R97" s="36">
        <f>IF(Q13=$BQ$2,1,(IF(Q13="",1,(IF(R13="",0,1)))))</f>
        <v>1</v>
      </c>
      <c r="U97" s="36">
        <f>IF(T13=$BQ$2,1,(IF(T13="",1,(IF(U13="",0,1)))))</f>
        <v>1</v>
      </c>
      <c r="X97" s="36">
        <f>IF(W13=$BQ$2,1,(IF(W13="",1,(IF(X13="",0,1)))))</f>
        <v>1</v>
      </c>
      <c r="AF97" s="36">
        <f t="shared" si="414"/>
        <v>9</v>
      </c>
      <c r="AG97" s="36"/>
      <c r="AH97" s="36" t="str">
        <f t="shared" si="399"/>
        <v/>
      </c>
      <c r="AI97" s="36">
        <f t="shared" si="404"/>
        <v>0</v>
      </c>
      <c r="AJ97" s="36" t="str">
        <f t="shared" si="409"/>
        <v/>
      </c>
      <c r="AM97" s="36" t="str">
        <f t="shared" si="400"/>
        <v/>
      </c>
      <c r="AN97" s="36">
        <f t="shared" si="405"/>
        <v>0</v>
      </c>
      <c r="AO97" s="36" t="str">
        <f t="shared" si="410"/>
        <v/>
      </c>
      <c r="AR97" s="36" t="str">
        <f t="shared" si="401"/>
        <v/>
      </c>
      <c r="AS97" s="36">
        <f t="shared" si="406"/>
        <v>0</v>
      </c>
      <c r="AT97" s="36" t="str">
        <f t="shared" si="411"/>
        <v/>
      </c>
      <c r="AW97" s="36" t="str">
        <f t="shared" si="402"/>
        <v/>
      </c>
      <c r="AX97" s="36">
        <f t="shared" si="407"/>
        <v>0</v>
      </c>
      <c r="AY97" s="36" t="str">
        <f t="shared" si="412"/>
        <v/>
      </c>
      <c r="BB97" s="36" t="str">
        <f t="shared" si="403"/>
        <v/>
      </c>
      <c r="BC97" s="36">
        <f t="shared" si="408"/>
        <v>0</v>
      </c>
      <c r="BD97" s="36" t="str">
        <f t="shared" si="413"/>
        <v/>
      </c>
      <c r="BU97" s="36">
        <f t="shared" si="397"/>
        <v>17</v>
      </c>
      <c r="BV97" s="85">
        <v>1</v>
      </c>
      <c r="BW97" s="85"/>
      <c r="BX97" s="214">
        <f>D40</f>
        <v>4</v>
      </c>
      <c r="BY97" s="140">
        <f>IF(E40=$BQ$2,0,(IF(E40="",0,E40)))</f>
        <v>5</v>
      </c>
      <c r="BZ97" s="85">
        <f>F40</f>
        <v>0</v>
      </c>
      <c r="CA97" s="141">
        <f>F41</f>
        <v>4</v>
      </c>
      <c r="CB97" s="140">
        <f>IF(H40=$BQ$2,0,(IF(H40="",0,H40)))</f>
        <v>6</v>
      </c>
      <c r="CC97" s="85">
        <f>I40</f>
        <v>0</v>
      </c>
      <c r="CD97" s="141">
        <f>I41</f>
        <v>0</v>
      </c>
      <c r="CE97" s="140">
        <f>IF(K40=$BQ$2,0,(IF(K40="",0,K40)))</f>
        <v>0</v>
      </c>
      <c r="CF97" s="85">
        <f>L40</f>
        <v>0</v>
      </c>
      <c r="CG97" s="141">
        <f>L41</f>
        <v>0</v>
      </c>
      <c r="CH97" s="140">
        <f>IF(N40=$BQ$2,0,(IF(N40="",0,N40)))</f>
        <v>0</v>
      </c>
      <c r="CI97" s="85">
        <f>O40</f>
        <v>0</v>
      </c>
      <c r="CJ97" s="141">
        <f>O41</f>
        <v>0</v>
      </c>
      <c r="CK97" s="140">
        <f>IF(Q40=$BQ$2,0,(IF(Q40="",0,Q40)))</f>
        <v>0</v>
      </c>
      <c r="CL97" s="85">
        <f>R40</f>
        <v>0</v>
      </c>
      <c r="CM97" s="141">
        <f>R41</f>
        <v>0</v>
      </c>
      <c r="CN97" s="140">
        <f>IF(T40=$BQ$2,0,(IF(T40="",0,T40)))</f>
        <v>0</v>
      </c>
      <c r="CO97" s="85">
        <f>U40</f>
        <v>0</v>
      </c>
      <c r="CP97" s="141">
        <f>U41</f>
        <v>0</v>
      </c>
      <c r="CQ97" s="140">
        <f>IF(W40=$BQ$2,0,(IF(W40="",0,W40)))</f>
        <v>0</v>
      </c>
      <c r="CR97" s="85">
        <f>X40</f>
        <v>0</v>
      </c>
      <c r="CS97" s="141">
        <f>X41</f>
        <v>0</v>
      </c>
      <c r="CT97" s="140"/>
      <c r="CU97" s="85"/>
      <c r="CV97" s="141"/>
      <c r="DH97" s="36">
        <f t="shared" si="379"/>
        <v>95</v>
      </c>
      <c r="DI97" s="36">
        <f t="shared" si="380"/>
        <v>17</v>
      </c>
      <c r="DJ97" s="63">
        <f t="shared" si="375"/>
        <v>4</v>
      </c>
      <c r="DK97" s="141">
        <f t="shared" si="381"/>
        <v>1</v>
      </c>
      <c r="DL97" s="140">
        <f t="shared" si="382"/>
        <v>0</v>
      </c>
      <c r="DM97" s="141">
        <f t="shared" si="383"/>
        <v>4</v>
      </c>
      <c r="DN97" s="138" t="str">
        <f>IF(AD40="","",1)</f>
        <v/>
      </c>
      <c r="DP97" s="36">
        <f t="shared" si="384"/>
        <v>4</v>
      </c>
      <c r="DQ97" s="85">
        <f t="shared" si="385"/>
        <v>1</v>
      </c>
      <c r="DR97" s="36" t="str">
        <f>AC40</f>
        <v>F</v>
      </c>
      <c r="DS97" s="85">
        <f t="shared" si="386"/>
        <v>0</v>
      </c>
      <c r="DT97" s="85">
        <f t="shared" si="387"/>
        <v>0</v>
      </c>
      <c r="DU97" s="85">
        <f t="shared" si="388"/>
        <v>0</v>
      </c>
      <c r="DV97" s="85">
        <f t="shared" si="389"/>
        <v>5</v>
      </c>
      <c r="DW97" s="85">
        <f>IF(DQ97=$BK$2,0,(IF(BP40&gt;1,1,0)))</f>
        <v>1</v>
      </c>
      <c r="DX97" s="296">
        <f t="shared" ref="DX97:DX112" si="415">IF(DJ97="",$DX$76+0.001,((IF(DQ97=$BK$2,$DX$76,(((((((((300)-(DW97*100)+DL97)*10+DV97)*100+DM97)*10+DS97)*10+DT97)*10)+DU97)*100+DH97)))+0.01*DJ97+0.001))</f>
        <v>20050400095.041</v>
      </c>
      <c r="DY97" s="296"/>
      <c r="DZ97" s="296"/>
      <c r="EA97" s="53">
        <f t="shared" si="391"/>
        <v>15</v>
      </c>
      <c r="EB97" s="199"/>
      <c r="EC97" s="392">
        <f>IF(DQ97=$BK$2,DX97,(LARGE($DX$97:$DX$112,DQ97)))</f>
        <v>30972410093.061001</v>
      </c>
      <c r="ED97" s="392"/>
      <c r="EE97" s="392"/>
      <c r="EF97" s="85"/>
      <c r="EG97" s="85">
        <f>LEN(EC97)</f>
        <v>15</v>
      </c>
      <c r="EH97" s="85"/>
      <c r="EI97" s="85"/>
      <c r="EJ97" s="36">
        <f t="shared" si="394"/>
        <v>6</v>
      </c>
      <c r="EK97" s="85"/>
      <c r="EL97" s="85">
        <f>EJ97</f>
        <v>6</v>
      </c>
      <c r="EM97" s="36" t="str">
        <f>AC40</f>
        <v>F</v>
      </c>
      <c r="EN97" s="36">
        <f t="shared" si="376"/>
        <v>4</v>
      </c>
      <c r="EO97" s="36">
        <f>SMALL($EN$97:$EN$112,DQ97)</f>
        <v>4</v>
      </c>
      <c r="EP97" s="140">
        <f>VALUE(INDEX($BY$97:$BY$112,EO97-$DU$114))</f>
        <v>5</v>
      </c>
      <c r="EQ97" s="85">
        <f>INDEX($BZ$97:$BZ$112,EO97-$DU$114)</f>
        <v>0</v>
      </c>
      <c r="ER97" s="85">
        <f>INDEX($CA$97:$CA$112,EO97-$DU$114)</f>
        <v>4</v>
      </c>
      <c r="ES97" s="140">
        <f>VALUE(INDEX($CB$97:$CB$112,EO97-$DU$114))</f>
        <v>6</v>
      </c>
      <c r="ET97" s="85">
        <f>INDEX($CC$97:$CC$112,EO97-$DU$114)</f>
        <v>0</v>
      </c>
      <c r="EU97" s="141">
        <f>INDEX($CD$97:$CD$112,EO97-$DU$114)</f>
        <v>0</v>
      </c>
      <c r="EV97" s="140">
        <f>VALUE(INDEX($CE$97:$CE$112,EO97-$DU$114))</f>
        <v>0</v>
      </c>
      <c r="EW97" s="85">
        <f>INDEX($CF$97:$CF$112,EO97-$DU$114)</f>
        <v>0</v>
      </c>
      <c r="EX97" s="85">
        <f>INDEX($CG$97:$CG$112,EO97-$DU$114)</f>
        <v>0</v>
      </c>
      <c r="EY97" s="140">
        <f>VALUE(INDEX($CH$97:$CH$112,EO97-$DU$114))</f>
        <v>0</v>
      </c>
      <c r="EZ97" s="85">
        <f>INDEX($CI$97:$CI$112,EO97-$DU$114)</f>
        <v>0</v>
      </c>
      <c r="FA97" s="141">
        <f>INDEX($CJ$97:$CJ$112,EO97-$DU$114)</f>
        <v>0</v>
      </c>
      <c r="FB97" s="85">
        <f>VALUE(INDEX($CK$97:$CK$112,EO97-$DU$114))</f>
        <v>0</v>
      </c>
      <c r="FC97" s="85">
        <f>INDEX($CL$97:$CL$112,EO97-$DU$114)</f>
        <v>0</v>
      </c>
      <c r="FD97" s="85">
        <f>INDEX($CM$97:$CM$112,EO97-$DU$114)</f>
        <v>0</v>
      </c>
      <c r="FE97" s="140">
        <f>VALUE(INDEX($CN$97:$CN$112,EO97-$DU$114))</f>
        <v>0</v>
      </c>
      <c r="FF97" s="85">
        <f>INDEX($CO$97:$CO$112,EO97-$DU$114)</f>
        <v>0</v>
      </c>
      <c r="FG97" s="141">
        <f>INDEX($CP$97:$CP$112,EO97-$DU$114)</f>
        <v>0</v>
      </c>
      <c r="FH97" s="85">
        <f>VALUE(INDEX($CQ$97:$CQ$112,EO97-$DU$114))</f>
        <v>0</v>
      </c>
      <c r="FI97" s="85">
        <f>INDEX($CR$97:$CR$112,EO97-$DU$114)</f>
        <v>0</v>
      </c>
      <c r="FJ97" s="85">
        <f>INDEX($CS$97:$CS$112,EO97-$DU$114)</f>
        <v>0</v>
      </c>
      <c r="FK97" s="140">
        <f>VALUE(INDEX($CT$97:$CT$112,EO97-$DU$114))</f>
        <v>0</v>
      </c>
      <c r="FL97" s="85">
        <f>INDEX($CU$97:$CU$112,EO97-$DU$114)</f>
        <v>0</v>
      </c>
      <c r="FM97" s="141">
        <f>INDEX($CV$97:$CV$112,EO97-$DU$114)</f>
        <v>0</v>
      </c>
      <c r="FS97" s="122">
        <f>EO97</f>
        <v>4</v>
      </c>
      <c r="FT97" s="140">
        <f>FS98</f>
        <v>5</v>
      </c>
      <c r="FU97" s="85">
        <f>IF(FT97=$EN$76,"",(IF(FT97=EP97,EQ97,IF(FT97=ES97,ET97,IF(FT97=EV97,EW97,IF(FT97=EY97,EZ97,IF(FT97=FB97,FC97,IF(FT97=FE97,FF97,IF(FT97=FH97,FI97,IF(FT97=FK97,FL97,""))))))))))</f>
        <v>0</v>
      </c>
      <c r="FV97" s="141">
        <f>IF(FT97=$EN$76,"",(IF(FT97=EP97,ER97,IF(FT97=ES97,EU97,IF(FT97=EV97,EX97,IF(FT97=EY97,FA97,IF(FT97=FB97,FD97,IF(FT97=FE97,FG97,IF(FT97=FH97,FJ97,IF(FT97=FK97,FM97,""))))))))))</f>
        <v>4</v>
      </c>
      <c r="FW97" s="140">
        <f>FS99</f>
        <v>6</v>
      </c>
      <c r="FX97" s="85">
        <f>IF(FW97=$EN$76,"",(IF(FW97=EP97,EQ97,IF(FW97=ES97,ET97,IF(FW97=EV97,EW97,IF(FW97=EY97,EZ97,IF(FW97=FB97,FC97,IF(FW97=FE97,FF97,IF(FW97=FH97,FI97,IF(FW97=FK97,FL97,""))))))))))</f>
        <v>0</v>
      </c>
      <c r="FY97" s="141">
        <f>IF(FW97=$EN$76,"",(IF(FW97=EP97,ER97,IF(FW97=ES97,EU97,IF(FW97=EV97,EX97,IF(FW97=EY97,FA97,IF(FW97=FB97,FD97,IF(FW97=FE97,FG97,IF(FW97=FH97,FJ97,IF(FW97=FK97,FM97,""))))))))))</f>
        <v>0</v>
      </c>
      <c r="FZ97" s="85" t="str">
        <f>EN76</f>
        <v>VL</v>
      </c>
      <c r="GA97" s="85" t="str">
        <f>IF(FZ97=$EN$76,"",(IF(FZ97=EP97,EQ97,IF(FZ97=ES97,ET97,IF(FZ97=EV97,EW97,IF(FZ97=EY97,EZ97,IF(FZ97=FB97,FC97,IF(FZ97=FE97,FF97,IF(FZ97=FH97,FI97,IF(FZ97=FK97,FL97,""))))))))))</f>
        <v/>
      </c>
      <c r="GB97" s="141" t="str">
        <f>IF(FZ97=$EN$76,"",(IF(FZ97=EP97,ER97,IF(FZ97=ES97,EU97,IF(FZ97=EV97,EX97,IF(FZ97=EY97,FA97,IF(FZ97=FB97,FD97,IF(FZ97=FE97,FG97,IF(FZ97=FH97,FJ97,IF(FZ97=FK97,FM97,""))))))))))</f>
        <v/>
      </c>
      <c r="GD97" s="138">
        <f t="shared" ref="GD97:GE99" si="416">IF(FU97="",0,FU97)+IF(FX97="",0,FX97)+IF(GA97="",0,GA97)</f>
        <v>0</v>
      </c>
      <c r="GE97" s="149">
        <f t="shared" si="416"/>
        <v>4</v>
      </c>
      <c r="GH97" s="36">
        <f>FZ98</f>
        <v>6</v>
      </c>
      <c r="GI97" s="36">
        <f>FZ99</f>
        <v>5</v>
      </c>
      <c r="GK97" s="170" t="str">
        <f>IF(GD105=0,"",(INDEX(GH95:GH97,GD105)))</f>
        <v/>
      </c>
      <c r="GL97" s="171" t="str">
        <f>IF(GD105=0,"",(INDEX(GI95:GI97,GD105)))</f>
        <v/>
      </c>
      <c r="GY97" s="183">
        <f t="shared" si="378"/>
        <v>5</v>
      </c>
      <c r="GZ97" s="122">
        <f>GZ96+1</f>
        <v>18</v>
      </c>
      <c r="HB97" s="36" t="str">
        <f t="shared" si="396"/>
        <v>F</v>
      </c>
      <c r="HC97" s="177"/>
      <c r="HD97" s="122"/>
      <c r="HF97" s="153"/>
    </row>
    <row r="98" spans="1:214" ht="12.75" hidden="1" customHeight="1" x14ac:dyDescent="0.25">
      <c r="D98" s="37"/>
      <c r="F98" s="36">
        <f>IF(E13=$BQ$2,1,(IF(E13="",1,(IF(F14="",0,1)))))</f>
        <v>1</v>
      </c>
      <c r="I98" s="36">
        <f>IF(H13=$BQ$2,1,(IF(H13="",1,(IF(I14="",0,1)))))</f>
        <v>1</v>
      </c>
      <c r="L98" s="36">
        <f>IF(K13=$BQ$2,1,(IF(K13="",1,(IF(L14="",0,1)))))</f>
        <v>1</v>
      </c>
      <c r="O98" s="36">
        <f>IF(N13=$BQ$2,1,(IF(N13="",1,(IF(O14="",0,1)))))</f>
        <v>1</v>
      </c>
      <c r="R98" s="36">
        <f>IF(Q13=$BQ$2,1,(IF(Q13="",1,(IF(R14="",0,1)))))</f>
        <v>1</v>
      </c>
      <c r="U98" s="36">
        <f>IF(T13=$BQ$2,1,(IF(T13="",1,(IF(U14="",0,1)))))</f>
        <v>1</v>
      </c>
      <c r="X98" s="36">
        <f>IF(W13=$BQ$2,1,(IF(W13="",1,(IF(X14="",0,1)))))</f>
        <v>1</v>
      </c>
      <c r="AF98" s="36">
        <f t="shared" si="414"/>
        <v>10</v>
      </c>
      <c r="AG98" s="36"/>
      <c r="AH98" s="36" t="str">
        <f t="shared" si="399"/>
        <v/>
      </c>
      <c r="AI98" s="36">
        <f t="shared" si="404"/>
        <v>0</v>
      </c>
      <c r="AJ98" s="36" t="str">
        <f t="shared" si="409"/>
        <v/>
      </c>
      <c r="AM98" s="36" t="str">
        <f t="shared" si="400"/>
        <v/>
      </c>
      <c r="AN98" s="36">
        <f t="shared" si="405"/>
        <v>0</v>
      </c>
      <c r="AO98" s="36" t="str">
        <f t="shared" si="410"/>
        <v/>
      </c>
      <c r="AR98" s="36" t="str">
        <f t="shared" si="401"/>
        <v/>
      </c>
      <c r="AS98" s="36">
        <f t="shared" si="406"/>
        <v>0</v>
      </c>
      <c r="AT98" s="36" t="str">
        <f t="shared" si="411"/>
        <v/>
      </c>
      <c r="AW98" s="36" t="str">
        <f t="shared" si="402"/>
        <v/>
      </c>
      <c r="AX98" s="36">
        <f t="shared" si="407"/>
        <v>0</v>
      </c>
      <c r="AY98" s="36" t="str">
        <f t="shared" si="412"/>
        <v/>
      </c>
      <c r="BB98" s="36" t="str">
        <f t="shared" si="403"/>
        <v/>
      </c>
      <c r="BC98" s="36">
        <f t="shared" si="408"/>
        <v>0</v>
      </c>
      <c r="BD98" s="36" t="str">
        <f t="shared" si="413"/>
        <v/>
      </c>
      <c r="BU98" s="36">
        <f t="shared" si="397"/>
        <v>18</v>
      </c>
      <c r="BV98" s="36">
        <f>BV97+1</f>
        <v>2</v>
      </c>
      <c r="BX98" s="63">
        <f>D42</f>
        <v>5</v>
      </c>
      <c r="BY98" s="138">
        <f>IF(E42=$BQ$2,0,(IF(E42="",0,E42)))</f>
        <v>4</v>
      </c>
      <c r="BZ98" s="36">
        <f>F42</f>
        <v>5</v>
      </c>
      <c r="CA98" s="149">
        <f>F43</f>
        <v>8</v>
      </c>
      <c r="CB98" s="138">
        <f>IF(H42=$BQ$2,0,(IF(H42="",0,H42)))</f>
        <v>0</v>
      </c>
      <c r="CC98" s="36">
        <f>I42</f>
        <v>0</v>
      </c>
      <c r="CD98" s="149">
        <f>I43</f>
        <v>0</v>
      </c>
      <c r="CE98" s="138">
        <f>IF(K42=$BQ$2,0,(IF(K42="",0,K42)))</f>
        <v>6</v>
      </c>
      <c r="CF98" s="36">
        <f>L42</f>
        <v>0</v>
      </c>
      <c r="CG98" s="149">
        <f>L43</f>
        <v>0</v>
      </c>
      <c r="CH98" s="138">
        <f>IF(N42=$BQ$2,0,(IF(N42="",0,N42)))</f>
        <v>0</v>
      </c>
      <c r="CI98" s="36">
        <f>O42</f>
        <v>0</v>
      </c>
      <c r="CJ98" s="149">
        <f>O43</f>
        <v>0</v>
      </c>
      <c r="CK98" s="138">
        <f>IF(Q42=$BQ$2,0,(IF(Q42="",0,Q42)))</f>
        <v>0</v>
      </c>
      <c r="CL98" s="36">
        <f>R42</f>
        <v>0</v>
      </c>
      <c r="CM98" s="149">
        <f>R43</f>
        <v>0</v>
      </c>
      <c r="CN98" s="138">
        <f>IF(T42=$BQ$2,0,(IF(T42="",0,T42)))</f>
        <v>0</v>
      </c>
      <c r="CO98" s="36">
        <f>U42</f>
        <v>0</v>
      </c>
      <c r="CP98" s="149">
        <f>U43</f>
        <v>0</v>
      </c>
      <c r="CQ98" s="138">
        <f>IF(W42=$BQ$2,0,(IF(W42="",0,W42)))</f>
        <v>0</v>
      </c>
      <c r="CR98" s="36">
        <f>X42</f>
        <v>0</v>
      </c>
      <c r="CS98" s="149">
        <f>X43</f>
        <v>0</v>
      </c>
      <c r="CT98" s="138"/>
      <c r="CV98" s="149"/>
      <c r="DH98" s="36">
        <f t="shared" si="379"/>
        <v>94</v>
      </c>
      <c r="DI98" s="36">
        <f t="shared" si="380"/>
        <v>18</v>
      </c>
      <c r="DJ98" s="63">
        <f t="shared" si="375"/>
        <v>5</v>
      </c>
      <c r="DK98" s="36">
        <f t="shared" si="381"/>
        <v>2</v>
      </c>
      <c r="DL98" s="138">
        <f t="shared" si="382"/>
        <v>5</v>
      </c>
      <c r="DM98" s="149">
        <f t="shared" si="383"/>
        <v>8</v>
      </c>
      <c r="DN98" s="138" t="str">
        <f>IF(AD42="","",1)</f>
        <v/>
      </c>
      <c r="DP98" s="36">
        <f t="shared" si="384"/>
        <v>5</v>
      </c>
      <c r="DQ98" s="36">
        <f t="shared" si="385"/>
        <v>2</v>
      </c>
      <c r="DR98" s="36" t="str">
        <f>AC42</f>
        <v>F</v>
      </c>
      <c r="DS98" s="36">
        <f t="shared" si="386"/>
        <v>1</v>
      </c>
      <c r="DT98" s="36">
        <f t="shared" si="387"/>
        <v>0</v>
      </c>
      <c r="DU98" s="36">
        <f t="shared" si="388"/>
        <v>0</v>
      </c>
      <c r="DV98" s="36">
        <f t="shared" si="389"/>
        <v>6</v>
      </c>
      <c r="DW98" s="36">
        <f>IF(DQ98=$BK$2,0,(IF(BP42&gt;1,1,0)))</f>
        <v>0</v>
      </c>
      <c r="DX98" s="296">
        <f t="shared" si="415"/>
        <v>30560810094.050999</v>
      </c>
      <c r="DY98" s="296"/>
      <c r="DZ98" s="296"/>
      <c r="EA98" s="53">
        <f t="shared" si="391"/>
        <v>15</v>
      </c>
      <c r="EB98" s="53"/>
      <c r="EC98" s="296">
        <f t="shared" ref="EC98:EC112" si="417">IF(DQ98=$BK$2,DX98,(LARGE($DX$97:$DX$112,DQ98)))</f>
        <v>30560810094.050999</v>
      </c>
      <c r="ED98" s="296"/>
      <c r="EE98" s="296"/>
      <c r="EG98" s="36">
        <f t="shared" ref="EG98:EG112" si="418">LEN(EC98)</f>
        <v>15</v>
      </c>
      <c r="EJ98" s="36">
        <f t="shared" si="394"/>
        <v>5</v>
      </c>
      <c r="EL98" s="36">
        <f>EJ98</f>
        <v>5</v>
      </c>
      <c r="EM98" s="36" t="str">
        <f>AC42</f>
        <v>F</v>
      </c>
      <c r="EN98" s="36">
        <f t="shared" si="376"/>
        <v>5</v>
      </c>
      <c r="EO98" s="36">
        <f>SMALL($EN$97:$EN$112,DQ98)</f>
        <v>5</v>
      </c>
      <c r="EP98" s="138">
        <f>VALUE(INDEX($BY$97:$BY$112,EO98-$DU$114))</f>
        <v>4</v>
      </c>
      <c r="EQ98" s="36">
        <f>INDEX($BZ$97:$BZ$112,EO98-$DU$114)</f>
        <v>5</v>
      </c>
      <c r="ER98" s="36">
        <f>INDEX($CA$97:$CA$112,EO98-$DU$114)</f>
        <v>8</v>
      </c>
      <c r="ES98" s="138">
        <f>VALUE(INDEX($CB$97:$CB$112,EO98-$DU$114))</f>
        <v>0</v>
      </c>
      <c r="ET98" s="36">
        <f>INDEX($CC$97:$CC$112,EO98-$DU$114)</f>
        <v>0</v>
      </c>
      <c r="EU98" s="149">
        <f>INDEX($CD$97:$CD$112,EO98-$DU$114)</f>
        <v>0</v>
      </c>
      <c r="EV98" s="138">
        <f>VALUE(INDEX($CE$97:$CE$112,EO98-$DU$114))</f>
        <v>6</v>
      </c>
      <c r="EW98" s="36">
        <f>INDEX($CF$97:$CF$112,EO98-$DU$114)</f>
        <v>0</v>
      </c>
      <c r="EX98" s="36">
        <f>INDEX($CG$97:$CG$112,EO98-$DU$114)</f>
        <v>0</v>
      </c>
      <c r="EY98" s="138">
        <f>VALUE(INDEX($CH$97:$CH$112,EO98-$DU$114))</f>
        <v>0</v>
      </c>
      <c r="EZ98" s="36">
        <f>INDEX($CI$97:$CI$112,EO98-$DU$114)</f>
        <v>0</v>
      </c>
      <c r="FA98" s="149">
        <f>INDEX($CJ$97:$CJ$112,EO98-$DU$114)</f>
        <v>0</v>
      </c>
      <c r="FB98" s="36">
        <f>VALUE(INDEX($CK$97:$CK$112,EO98-$DU$114))</f>
        <v>0</v>
      </c>
      <c r="FC98" s="36">
        <f>INDEX($CL$97:$CL$112,EO98-$DU$114)</f>
        <v>0</v>
      </c>
      <c r="FD98" s="36">
        <f>INDEX($CM$97:$CM$112,EO98-$DU$114)</f>
        <v>0</v>
      </c>
      <c r="FE98" s="138">
        <f>VALUE(INDEX($CN$97:$CN$112,EO98-$DU$114))</f>
        <v>0</v>
      </c>
      <c r="FF98" s="36">
        <f>INDEX($CO$97:$CO$112,EO98-$DU$114)</f>
        <v>0</v>
      </c>
      <c r="FG98" s="149">
        <f>INDEX($CP$97:$CP$112,EO98-$DU$114)</f>
        <v>0</v>
      </c>
      <c r="FH98" s="36">
        <f>VALUE(INDEX($CQ$97:$CQ$112,EO98-$DU$114))</f>
        <v>0</v>
      </c>
      <c r="FI98" s="36">
        <f>INDEX($CR$97:$CR$112,EO98-$DU$114)</f>
        <v>0</v>
      </c>
      <c r="FJ98" s="36">
        <f>INDEX($CS$97:$CS$112,EO98-$DU$114)</f>
        <v>0</v>
      </c>
      <c r="FK98" s="138">
        <f>VALUE(INDEX($CT$97:$CT$112,EO98-$DU$114))</f>
        <v>0</v>
      </c>
      <c r="FL98" s="36">
        <f>INDEX($CU$97:$CU$112,EO98-$DU$114)</f>
        <v>0</v>
      </c>
      <c r="FM98" s="149">
        <f>INDEX($CV$97:$CV$112,EO98-$DU$114)</f>
        <v>0</v>
      </c>
      <c r="FS98" s="122">
        <f>EO98</f>
        <v>5</v>
      </c>
      <c r="FT98" s="138">
        <f>FS97</f>
        <v>4</v>
      </c>
      <c r="FU98" s="36">
        <f>IF(FT98=$EN$76,"",(IF(FT98=EP98,EQ98,IF(FT98=ES98,ET98,IF(FT98=EV98,EW98,IF(FT98=EY98,EZ98,IF(FT98=FB98,FC98,IF(FT98=FE98,FF98,IF(FT98=FH98,FI98,IF(FT98=FK98,FL98,""))))))))))</f>
        <v>5</v>
      </c>
      <c r="FV98" s="149">
        <f>IF(FT98=$EN$76,"",(IF(FT98=EP98,ER98,IF(FT98=ES98,EU98,IF(FT98=EV98,EX98,IF(FT98=EY98,FA98,IF(FT98=FB98,FD98,IF(FT98=FE98,FG98,IF(FT98=FH98,FJ98,IF(FT98=FK98,FM98,""))))))))))</f>
        <v>8</v>
      </c>
      <c r="FW98" s="138" t="str">
        <f>EN76</f>
        <v>VL</v>
      </c>
      <c r="FX98" s="36" t="str">
        <f>IF(FW98=$EN$76,"",(IF(FW98=EP98,EQ98,IF(FW98=ES98,ET98,IF(FW98=EV98,EW98,IF(FW98=EY98,EZ98,IF(FW98=FB98,FC98,IF(FW98=FE98,FF98,IF(FW98=FH98,FI98,IF(FW98=FK98,FL98,""))))))))))</f>
        <v/>
      </c>
      <c r="FY98" s="149" t="str">
        <f>IF(FW98=$EN$76,"",(IF(FW98=EP98,ER98,IF(FW98=ES98,EU98,IF(FW98=EV98,EX98,IF(FW98=EY98,FA98,IF(FW98=FB98,FD98,IF(FW98=FE98,FG98,IF(FW98=FH98,FJ98,IF(FW98=FK98,FM98,""))))))))))</f>
        <v/>
      </c>
      <c r="FZ98" s="36">
        <f>FS99</f>
        <v>6</v>
      </c>
      <c r="GA98" s="36">
        <f>IF(FZ98=$EN$76,"",(IF(FZ98=EP98,EQ98,IF(FZ98=ES98,ET98,IF(FZ98=EV98,EW98,IF(FZ98=EY98,EZ98,IF(FZ98=FB98,FC98,IF(FZ98=FE98,FF98,IF(FZ98=FH98,FI98,IF(FZ98=FK98,FL98,""))))))))))</f>
        <v>0</v>
      </c>
      <c r="GB98" s="149">
        <f>IF(FZ98=$EN$76,"",(IF(FZ98=EP98,ER98,IF(FZ98=ES98,EU98,IF(FZ98=EV98,EX98,IF(FZ98=EY98,FA98,IF(FZ98=FB98,FD98,IF(FZ98=FE98,FG98,IF(FZ98=FH98,FJ98,IF(FZ98=FK98,FM98,""))))))))))</f>
        <v>0</v>
      </c>
      <c r="GD98" s="138">
        <f t="shared" si="416"/>
        <v>5</v>
      </c>
      <c r="GE98" s="149">
        <f t="shared" si="416"/>
        <v>8</v>
      </c>
      <c r="GY98" s="183">
        <f t="shared" si="378"/>
        <v>6</v>
      </c>
      <c r="GZ98" s="122">
        <f t="shared" ref="GZ98:GZ111" si="419">GZ97+1</f>
        <v>19</v>
      </c>
      <c r="HB98" s="36" t="str">
        <f t="shared" si="396"/>
        <v>F</v>
      </c>
      <c r="HC98" s="177" t="str">
        <f>GY89</f>
        <v/>
      </c>
      <c r="HD98" s="122">
        <f>HD96+1</f>
        <v>10</v>
      </c>
      <c r="HF98" s="153" t="str">
        <f>HB89</f>
        <v/>
      </c>
    </row>
    <row r="99" spans="1:214" ht="12.75" hidden="1" customHeight="1" x14ac:dyDescent="0.25">
      <c r="D99" s="37">
        <v>5</v>
      </c>
      <c r="F99" s="36">
        <f>IF(E15=$BQ$2,1,(IF(E15="",1,(IF(F15="",0,1)))))</f>
        <v>1</v>
      </c>
      <c r="I99" s="36">
        <f>IF(H15=$BQ$2,1,(IF(H15="",1,(IF(I15="",0,1)))))</f>
        <v>1</v>
      </c>
      <c r="L99" s="36">
        <f>IF(K15=$BQ$2,1,(IF(K15="",1,(IF(L15="",0,1)))))</f>
        <v>1</v>
      </c>
      <c r="O99" s="36">
        <f>IF(N15=$BQ$2,1,(IF(N15="",1,(IF(O15="",0,1)))))</f>
        <v>1</v>
      </c>
      <c r="R99" s="36">
        <f>IF(Q15=$BQ$2,1,(IF(Q15="",1,(IF(R15="",0,1)))))</f>
        <v>1</v>
      </c>
      <c r="U99" s="36">
        <f>IF(T15=$BQ$2,1,(IF(T15="",1,(IF(U15="",0,1)))))</f>
        <v>1</v>
      </c>
      <c r="X99" s="36">
        <f>IF(W15=$BQ$2,1,(IF(W15="",1,(IF(X15="",0,1)))))</f>
        <v>1</v>
      </c>
      <c r="AF99" s="36">
        <f t="shared" si="414"/>
        <v>11</v>
      </c>
      <c r="AG99" s="36"/>
      <c r="AH99" s="36" t="str">
        <f t="shared" si="399"/>
        <v/>
      </c>
      <c r="AI99" s="36">
        <f t="shared" si="404"/>
        <v>0</v>
      </c>
      <c r="AJ99" s="36" t="str">
        <f t="shared" si="409"/>
        <v/>
      </c>
      <c r="AM99" s="36" t="str">
        <f t="shared" si="400"/>
        <v/>
      </c>
      <c r="AN99" s="36">
        <f t="shared" si="405"/>
        <v>0</v>
      </c>
      <c r="AO99" s="36" t="str">
        <f t="shared" si="410"/>
        <v/>
      </c>
      <c r="AR99" s="36" t="str">
        <f t="shared" si="401"/>
        <v/>
      </c>
      <c r="AS99" s="36">
        <f t="shared" si="406"/>
        <v>0</v>
      </c>
      <c r="AT99" s="36" t="str">
        <f t="shared" si="411"/>
        <v/>
      </c>
      <c r="AW99" s="36" t="str">
        <f t="shared" si="402"/>
        <v/>
      </c>
      <c r="AX99" s="36">
        <f t="shared" si="407"/>
        <v>0</v>
      </c>
      <c r="AY99" s="36" t="str">
        <f t="shared" si="412"/>
        <v/>
      </c>
      <c r="BB99" s="36" t="str">
        <f t="shared" si="403"/>
        <v/>
      </c>
      <c r="BC99" s="36">
        <f t="shared" si="408"/>
        <v>0</v>
      </c>
      <c r="BD99" s="36" t="str">
        <f t="shared" si="413"/>
        <v/>
      </c>
      <c r="BU99" s="36">
        <f t="shared" si="397"/>
        <v>19</v>
      </c>
      <c r="BV99" s="36">
        <f>BV98+1</f>
        <v>3</v>
      </c>
      <c r="BX99" s="63">
        <f>D44</f>
        <v>6</v>
      </c>
      <c r="BY99" s="138">
        <f>IF(E44=$BQ$2,0,(IF(E44="",0,E44)))</f>
        <v>0</v>
      </c>
      <c r="BZ99" s="36">
        <f>F44</f>
        <v>0</v>
      </c>
      <c r="CA99" s="149">
        <f>F45</f>
        <v>0</v>
      </c>
      <c r="CB99" s="138">
        <f>IF(H44=$BQ$2,0,(IF(H44="",0,H44)))</f>
        <v>4</v>
      </c>
      <c r="CC99" s="36">
        <f>I44</f>
        <v>5</v>
      </c>
      <c r="CD99" s="149">
        <f>I45</f>
        <v>12</v>
      </c>
      <c r="CE99" s="138">
        <f>IF(K44=$BQ$2,0,(IF(K44="",0,K44)))</f>
        <v>5</v>
      </c>
      <c r="CF99" s="36">
        <f>L44</f>
        <v>4</v>
      </c>
      <c r="CG99" s="149">
        <f>L45</f>
        <v>12</v>
      </c>
      <c r="CH99" s="138">
        <f>IF(N44=$BQ$2,0,(IF(N44="",0,N44)))</f>
        <v>0</v>
      </c>
      <c r="CI99" s="36">
        <f>O44</f>
        <v>0</v>
      </c>
      <c r="CJ99" s="149">
        <f>O45</f>
        <v>0</v>
      </c>
      <c r="CK99" s="138">
        <f>IF(Q44=$BQ$2,0,(IF(Q44="",0,Q44)))</f>
        <v>0</v>
      </c>
      <c r="CL99" s="36">
        <f>R44</f>
        <v>0</v>
      </c>
      <c r="CM99" s="149">
        <f>R45</f>
        <v>0</v>
      </c>
      <c r="CN99" s="138">
        <f>IF(T44=$BQ$2,0,(IF(T44="",0,T44)))</f>
        <v>0</v>
      </c>
      <c r="CO99" s="36">
        <f>U44</f>
        <v>0</v>
      </c>
      <c r="CP99" s="149">
        <f>U45</f>
        <v>0</v>
      </c>
      <c r="CQ99" s="138">
        <f>IF(W44=$BQ$2,0,(IF(W44="",0,W44)))</f>
        <v>0</v>
      </c>
      <c r="CR99" s="36">
        <f>X44</f>
        <v>0</v>
      </c>
      <c r="CS99" s="149">
        <f>X45</f>
        <v>0</v>
      </c>
      <c r="CT99" s="138"/>
      <c r="CV99" s="149"/>
      <c r="DH99" s="36">
        <f t="shared" si="379"/>
        <v>93</v>
      </c>
      <c r="DI99" s="36">
        <f t="shared" si="380"/>
        <v>19</v>
      </c>
      <c r="DJ99" s="63">
        <f t="shared" si="375"/>
        <v>6</v>
      </c>
      <c r="DK99" s="36">
        <f t="shared" si="381"/>
        <v>3</v>
      </c>
      <c r="DL99" s="138">
        <f t="shared" si="382"/>
        <v>9</v>
      </c>
      <c r="DM99" s="149">
        <f t="shared" si="383"/>
        <v>24</v>
      </c>
      <c r="DN99" s="138" t="str">
        <f>IF(AD44="","",1)</f>
        <v/>
      </c>
      <c r="DP99" s="36">
        <f t="shared" si="384"/>
        <v>6</v>
      </c>
      <c r="DQ99" s="36">
        <f t="shared" si="385"/>
        <v>3</v>
      </c>
      <c r="DR99" s="36" t="str">
        <f>AC44</f>
        <v>F</v>
      </c>
      <c r="DS99" s="36">
        <f t="shared" si="386"/>
        <v>1</v>
      </c>
      <c r="DT99" s="36">
        <f t="shared" si="387"/>
        <v>0</v>
      </c>
      <c r="DU99" s="36">
        <f t="shared" si="388"/>
        <v>0</v>
      </c>
      <c r="DV99" s="36">
        <f t="shared" si="389"/>
        <v>7</v>
      </c>
      <c r="DW99" s="36">
        <f>IF(DQ99=$BK$2,0,(IF(BP44&gt;1,1,0)))</f>
        <v>0</v>
      </c>
      <c r="DX99" s="296">
        <f t="shared" si="415"/>
        <v>30972410093.061001</v>
      </c>
      <c r="DY99" s="296"/>
      <c r="DZ99" s="296"/>
      <c r="EA99" s="53">
        <f t="shared" si="391"/>
        <v>15</v>
      </c>
      <c r="EB99" s="53"/>
      <c r="EC99" s="296">
        <f t="shared" si="417"/>
        <v>20050400095.041</v>
      </c>
      <c r="ED99" s="296"/>
      <c r="EE99" s="296"/>
      <c r="EG99" s="36">
        <f t="shared" si="418"/>
        <v>15</v>
      </c>
      <c r="EJ99" s="36">
        <f t="shared" si="394"/>
        <v>4</v>
      </c>
      <c r="EL99" s="36">
        <f>EJ99</f>
        <v>4</v>
      </c>
      <c r="EM99" s="36" t="str">
        <f>AC44</f>
        <v>F</v>
      </c>
      <c r="EN99" s="36">
        <f t="shared" si="376"/>
        <v>6</v>
      </c>
      <c r="EO99" s="36">
        <f>SMALL($EN$97:$EN$112,DQ99)</f>
        <v>6</v>
      </c>
      <c r="EP99" s="142">
        <f>VALUE(INDEX($BY$97:$BY$112,EO99-$DU$114))</f>
        <v>0</v>
      </c>
      <c r="EQ99" s="83">
        <f>INDEX($BZ$97:$BZ$112,EO99-$DU$114)</f>
        <v>0</v>
      </c>
      <c r="ER99" s="83">
        <f>INDEX($CA$97:$CA$112,EO99-$DU$114)</f>
        <v>0</v>
      </c>
      <c r="ES99" s="142">
        <f>VALUE(INDEX($CB$97:$CB$112,EO99-$DU$114))</f>
        <v>4</v>
      </c>
      <c r="ET99" s="83">
        <f>INDEX($CC$97:$CC$112,EO99-$DU$114)</f>
        <v>5</v>
      </c>
      <c r="EU99" s="143">
        <f>INDEX($CD$97:$CD$112,EO99-$DU$114)</f>
        <v>12</v>
      </c>
      <c r="EV99" s="142">
        <f>VALUE(INDEX($CE$97:$CE$112,EO99-$DU$114))</f>
        <v>5</v>
      </c>
      <c r="EW99" s="83">
        <f>INDEX($CF$97:$CF$112,EO99-$DU$114)</f>
        <v>4</v>
      </c>
      <c r="EX99" s="83">
        <f>INDEX($CG$97:$CG$112,EO99-$DU$114)</f>
        <v>12</v>
      </c>
      <c r="EY99" s="142">
        <f>VALUE(INDEX($CH$97:$CH$112,EO99-$DU$114))</f>
        <v>0</v>
      </c>
      <c r="EZ99" s="83">
        <f>INDEX($CI$97:$CI$112,EO99-$DU$114)</f>
        <v>0</v>
      </c>
      <c r="FA99" s="143">
        <f>INDEX($CJ$97:$CJ$112,EO99-$DU$114)</f>
        <v>0</v>
      </c>
      <c r="FB99" s="83">
        <f>VALUE(INDEX($CK$97:$CK$112,EO99-$DU$114))</f>
        <v>0</v>
      </c>
      <c r="FC99" s="83">
        <f>INDEX($CL$97:$CL$112,EO99-$DU$114)</f>
        <v>0</v>
      </c>
      <c r="FD99" s="83">
        <f>INDEX($CM$97:$CM$112,EO99-$DU$114)</f>
        <v>0</v>
      </c>
      <c r="FE99" s="142">
        <f>VALUE(INDEX($CN$97:$CN$112,EO99-$DU$114))</f>
        <v>0</v>
      </c>
      <c r="FF99" s="83">
        <f>INDEX($CO$97:$CO$112,EO99-$DU$114)</f>
        <v>0</v>
      </c>
      <c r="FG99" s="143">
        <f>INDEX($CP$97:$CP$112,EO99-$DU$114)</f>
        <v>0</v>
      </c>
      <c r="FH99" s="83">
        <f>VALUE(INDEX($CQ$97:$CQ$112,EO99-$DU$114))</f>
        <v>0</v>
      </c>
      <c r="FI99" s="83">
        <f>INDEX($CR$97:$CR$112,EO99-$DU$114)</f>
        <v>0</v>
      </c>
      <c r="FJ99" s="83">
        <f>INDEX($CS$97:$CS$112,EO99-$DU$114)</f>
        <v>0</v>
      </c>
      <c r="FK99" s="142">
        <f>VALUE(INDEX($CT$97:$CT$112,EO99-$DU$114))</f>
        <v>0</v>
      </c>
      <c r="FL99" s="83">
        <f>INDEX($CU$97:$CU$112,EO99-$DU$114)</f>
        <v>0</v>
      </c>
      <c r="FM99" s="143">
        <f>INDEX($CV$97:$CV$112,EO99-$DU$114)</f>
        <v>0</v>
      </c>
      <c r="FS99" s="123">
        <f>EO99</f>
        <v>6</v>
      </c>
      <c r="FT99" s="142" t="str">
        <f>EN76</f>
        <v>VL</v>
      </c>
      <c r="FU99" s="83" t="str">
        <f>IF(FT99=$EN$76,"",(IF(FT99=EP99,EQ99,IF(FT99=ES99,ET99,IF(FT99=EV99,EW99,IF(FT99=EY99,EZ99,IF(FT99=FB99,FC99,IF(FT99=FE99,FF99,IF(FT99=FH99,FI99,IF(FT99=FK99,FL99,""))))))))))</f>
        <v/>
      </c>
      <c r="FV99" s="143" t="str">
        <f>IF(FT99=$EN$76,"",(IF(FT99=EP99,ER99,IF(FT99=ES99,EU99,IF(FT99=EV99,EX99,IF(FT99=EY99,FA99,IF(FT99=FB99,FD99,IF(FT99=FE99,FG99,IF(FT99=FH99,FJ99,IF(FT99=FK99,FM99,""))))))))))</f>
        <v/>
      </c>
      <c r="FW99" s="142">
        <f>FS97</f>
        <v>4</v>
      </c>
      <c r="FX99" s="83">
        <f>IF(FW99=$EN$76,"",(IF(FW99=EP99,EQ99,IF(FW99=ES99,ET99,IF(FW99=EV99,EW99,IF(FW99=EY99,EZ99,IF(FW99=FB99,FC99,IF(FW99=FE99,FF99,IF(FW99=FH99,FI99,IF(FW99=FK99,FL99,""))))))))))</f>
        <v>5</v>
      </c>
      <c r="FY99" s="143">
        <f>IF(FW99=$EN$76,"",(IF(FW99=EP99,ER99,IF(FW99=ES99,EU99,IF(FW99=EV99,EX99,IF(FW99=EY99,FA99,IF(FW99=FB99,FD99,IF(FW99=FE99,FG99,IF(FW99=FH99,FJ99,IF(FW99=FK99,FM99,""))))))))))</f>
        <v>12</v>
      </c>
      <c r="FZ99" s="83">
        <f>FS98</f>
        <v>5</v>
      </c>
      <c r="GA99" s="83">
        <f>IF(FZ99=$EN$76,"",(IF(FZ99=EP99,EQ99,IF(FZ99=ES99,ET99,IF(FZ99=EV99,EW99,IF(FZ99=EY99,EZ99,IF(FZ99=FB99,FC99,IF(FZ99=FE99,FF99,IF(FZ99=FH99,FI99,IF(FZ99=FK99,FL99,""))))))))))</f>
        <v>4</v>
      </c>
      <c r="GB99" s="143">
        <f>IF(FZ99=$EN$76,"",(IF(FZ99=EP99,ER99,IF(FZ99=ES99,EU99,IF(FZ99=EV99,EX99,IF(FZ99=EY99,FA99,IF(FZ99=FB99,FD99,IF(FZ99=FE99,FG99,IF(FZ99=FH99,FJ99,IF(FZ99=FK99,FM99,""))))))))))</f>
        <v>12</v>
      </c>
      <c r="GD99" s="142">
        <f t="shared" si="416"/>
        <v>9</v>
      </c>
      <c r="GE99" s="143">
        <f t="shared" si="416"/>
        <v>24</v>
      </c>
      <c r="GY99" s="183" t="str">
        <f t="shared" si="378"/>
        <v/>
      </c>
      <c r="GZ99" s="122">
        <f t="shared" si="419"/>
        <v>20</v>
      </c>
      <c r="HB99" s="36" t="str">
        <f t="shared" si="396"/>
        <v/>
      </c>
      <c r="HC99" s="177"/>
      <c r="HD99" s="122"/>
      <c r="HF99" s="153"/>
    </row>
    <row r="100" spans="1:214" ht="12.75" hidden="1" customHeight="1" x14ac:dyDescent="0.25">
      <c r="D100" s="37"/>
      <c r="F100" s="36">
        <f>IF(E15=$BQ$2,1,(IF(E15="",1,(IF(F16="",0,1)))))</f>
        <v>1</v>
      </c>
      <c r="I100" s="36">
        <f>IF(H15=$BQ$2,1,(IF(H15="",1,(IF(I16="",0,1)))))</f>
        <v>1</v>
      </c>
      <c r="L100" s="36">
        <f>IF(K15=$BQ$2,1,(IF(K15="",1,(IF(L16="",0,1)))))</f>
        <v>1</v>
      </c>
      <c r="O100" s="36">
        <f>IF(N15=$BQ$2,1,(IF(N15="",1,(IF(O16="",0,1)))))</f>
        <v>1</v>
      </c>
      <c r="R100" s="36">
        <f>IF(Q15=$BQ$2,1,(IF(Q15="",1,(IF(R16="",0,1)))))</f>
        <v>1</v>
      </c>
      <c r="U100" s="36">
        <f>IF(T15=$BQ$2,1,(IF(T15="",1,(IF(U16="",0,1)))))</f>
        <v>1</v>
      </c>
      <c r="X100" s="36">
        <f>IF(W15=$BQ$2,1,(IF(W15="",1,(IF(X16="",0,1)))))</f>
        <v>1</v>
      </c>
      <c r="AF100" s="36">
        <f t="shared" si="414"/>
        <v>12</v>
      </c>
      <c r="AG100" s="36"/>
      <c r="AH100" s="36" t="str">
        <f t="shared" si="399"/>
        <v/>
      </c>
      <c r="AI100" s="36">
        <f t="shared" si="404"/>
        <v>0</v>
      </c>
      <c r="AJ100" s="36" t="str">
        <f t="shared" si="409"/>
        <v/>
      </c>
      <c r="AM100" s="36" t="str">
        <f t="shared" si="400"/>
        <v/>
      </c>
      <c r="AN100" s="36">
        <f t="shared" si="405"/>
        <v>0</v>
      </c>
      <c r="AO100" s="36" t="str">
        <f t="shared" si="410"/>
        <v/>
      </c>
      <c r="AR100" s="36" t="str">
        <f t="shared" si="401"/>
        <v/>
      </c>
      <c r="AS100" s="36">
        <f t="shared" si="406"/>
        <v>0</v>
      </c>
      <c r="AT100" s="36" t="str">
        <f t="shared" si="411"/>
        <v/>
      </c>
      <c r="AW100" s="36">
        <f t="shared" si="402"/>
        <v>0</v>
      </c>
      <c r="AX100" s="36">
        <f t="shared" si="407"/>
        <v>0</v>
      </c>
      <c r="AY100" s="36" t="str">
        <f t="shared" si="412"/>
        <v/>
      </c>
      <c r="BB100" s="36">
        <f t="shared" si="403"/>
        <v>0</v>
      </c>
      <c r="BC100" s="36">
        <f t="shared" si="408"/>
        <v>0</v>
      </c>
      <c r="BD100" s="36" t="str">
        <f t="shared" si="413"/>
        <v/>
      </c>
      <c r="BU100" s="36">
        <f t="shared" si="397"/>
        <v>20</v>
      </c>
      <c r="BV100" s="36">
        <f t="shared" ref="BV100:BV112" si="420">BV99+1</f>
        <v>4</v>
      </c>
      <c r="BX100" s="63" t="str">
        <f>D46</f>
        <v/>
      </c>
      <c r="BY100" s="138">
        <f>IF(E46=$BQ$2,0,(IF(E46="",0,E46)))</f>
        <v>0</v>
      </c>
      <c r="BZ100" s="36">
        <f>F46</f>
        <v>0</v>
      </c>
      <c r="CA100" s="149">
        <f>F47</f>
        <v>0</v>
      </c>
      <c r="CB100" s="138">
        <f>IF(H46=$BQ$2,0,(IF(H46="",0,H46)))</f>
        <v>0</v>
      </c>
      <c r="CC100" s="36">
        <f>I46</f>
        <v>0</v>
      </c>
      <c r="CD100" s="149">
        <f>I47</f>
        <v>0</v>
      </c>
      <c r="CE100" s="138">
        <f>IF(K46=$BQ$2,0,(IF(K46="",0,K46)))</f>
        <v>0</v>
      </c>
      <c r="CF100" s="36">
        <f>L46</f>
        <v>0</v>
      </c>
      <c r="CG100" s="149">
        <f>L47</f>
        <v>0</v>
      </c>
      <c r="CH100" s="138">
        <f>IF(N46=$BQ$2,0,(IF(N46="",0,N46)))</f>
        <v>0</v>
      </c>
      <c r="CI100" s="36">
        <f>O46</f>
        <v>0</v>
      </c>
      <c r="CJ100" s="149">
        <f>O47</f>
        <v>0</v>
      </c>
      <c r="CK100" s="138">
        <f>IF(Q46=$BQ$2,0,(IF(Q46="",0,Q46)))</f>
        <v>0</v>
      </c>
      <c r="CL100" s="36">
        <f>R46</f>
        <v>0</v>
      </c>
      <c r="CM100" s="149">
        <f>R47</f>
        <v>0</v>
      </c>
      <c r="CN100" s="138">
        <f>IF(T46=$BQ$2,0,(IF(T46="",0,T46)))</f>
        <v>0</v>
      </c>
      <c r="CO100" s="36">
        <f>U46</f>
        <v>0</v>
      </c>
      <c r="CP100" s="149">
        <f>U47</f>
        <v>0</v>
      </c>
      <c r="CQ100" s="138">
        <f>IF(W46=$BQ$2,0,(IF(W46="",0,W46)))</f>
        <v>0</v>
      </c>
      <c r="CR100" s="36">
        <f>X46</f>
        <v>0</v>
      </c>
      <c r="CS100" s="149">
        <f>X47</f>
        <v>0</v>
      </c>
      <c r="CT100" s="138"/>
      <c r="CV100" s="149"/>
      <c r="DH100" s="36">
        <f t="shared" si="379"/>
        <v>99</v>
      </c>
      <c r="DI100" s="36">
        <f t="shared" si="380"/>
        <v>20</v>
      </c>
      <c r="DJ100" s="63" t="str">
        <f t="shared" si="375"/>
        <v/>
      </c>
      <c r="DK100" s="36">
        <f t="shared" si="381"/>
        <v>4</v>
      </c>
      <c r="DL100" s="138">
        <f t="shared" si="382"/>
        <v>0</v>
      </c>
      <c r="DM100" s="149">
        <f t="shared" si="383"/>
        <v>0</v>
      </c>
      <c r="DN100" s="138" t="str">
        <f>IF(AD46="","",1)</f>
        <v/>
      </c>
      <c r="DP100" s="36" t="str">
        <f t="shared" si="384"/>
        <v/>
      </c>
      <c r="DQ100" s="36">
        <f t="shared" si="385"/>
        <v>999</v>
      </c>
      <c r="DR100" s="36" t="str">
        <f>AC46</f>
        <v/>
      </c>
      <c r="DS100" s="36">
        <f t="shared" si="386"/>
        <v>0</v>
      </c>
      <c r="DT100" s="36">
        <f t="shared" si="387"/>
        <v>0</v>
      </c>
      <c r="DU100" s="36">
        <f t="shared" si="388"/>
        <v>0</v>
      </c>
      <c r="DV100" s="36">
        <f t="shared" si="389"/>
        <v>7</v>
      </c>
      <c r="DW100" s="36">
        <f>IF(DQ100=$BK$2,0,(IF(BP46&gt;1,1,0)))</f>
        <v>0</v>
      </c>
      <c r="DX100" s="296">
        <f t="shared" si="415"/>
        <v>10000000000.000999</v>
      </c>
      <c r="DY100" s="296"/>
      <c r="DZ100" s="296"/>
      <c r="EA100" s="53">
        <f t="shared" si="391"/>
        <v>15</v>
      </c>
      <c r="EB100" s="53"/>
      <c r="EC100" s="296">
        <f t="shared" si="417"/>
        <v>10000000000.000999</v>
      </c>
      <c r="ED100" s="296"/>
      <c r="EE100" s="296"/>
      <c r="EG100" s="36">
        <f t="shared" si="418"/>
        <v>15</v>
      </c>
      <c r="EJ100" s="36">
        <f t="shared" si="394"/>
        <v>0</v>
      </c>
      <c r="EM100" s="36" t="str">
        <f>AC46</f>
        <v/>
      </c>
      <c r="EN100" s="36">
        <f t="shared" si="376"/>
        <v>999</v>
      </c>
      <c r="GK100" s="288" t="str">
        <f>GK82</f>
        <v>2. repas</v>
      </c>
      <c r="GL100" s="288"/>
      <c r="GY100" s="183" t="str">
        <f t="shared" si="378"/>
        <v/>
      </c>
      <c r="GZ100" s="122">
        <f t="shared" si="419"/>
        <v>21</v>
      </c>
      <c r="HB100" s="36" t="str">
        <f t="shared" si="396"/>
        <v/>
      </c>
      <c r="HC100" s="177" t="str">
        <f>GY90</f>
        <v/>
      </c>
      <c r="HD100" s="122">
        <f>HD98+1</f>
        <v>11</v>
      </c>
      <c r="HF100" s="153" t="str">
        <f>HB90</f>
        <v/>
      </c>
    </row>
    <row r="101" spans="1:214" ht="12.75" hidden="1" customHeight="1" x14ac:dyDescent="0.25">
      <c r="D101" s="37">
        <v>6</v>
      </c>
      <c r="F101" s="36">
        <f>IF(E17=$BQ$2,1,(IF(E17="",1,(IF(F17="",0,1)))))</f>
        <v>1</v>
      </c>
      <c r="I101" s="36">
        <f>IF(H17=$BQ$2,1,(IF(H17="",1,(IF(I17="",0,1)))))</f>
        <v>1</v>
      </c>
      <c r="L101" s="36">
        <f>IF(K17=$BQ$2,1,(IF(K17="",1,(IF(L17="",0,1)))))</f>
        <v>1</v>
      </c>
      <c r="O101" s="36">
        <f>IF(N17=$BQ$2,1,(IF(N17="",1,(IF(O17="",0,1)))))</f>
        <v>1</v>
      </c>
      <c r="R101" s="36">
        <f>IF(Q17=$BQ$2,1,(IF(Q17="",1,(IF(R17="",0,1)))))</f>
        <v>1</v>
      </c>
      <c r="U101" s="36">
        <f>IF(T17=$BQ$2,1,(IF(T17="",1,(IF(U17="",0,1)))))</f>
        <v>1</v>
      </c>
      <c r="X101" s="36">
        <f>IF(W17=$BQ$2,1,(IF(W17="",1,(IF(X17="",0,1)))))</f>
        <v>1</v>
      </c>
      <c r="AF101" s="36">
        <f t="shared" si="414"/>
        <v>13</v>
      </c>
      <c r="AG101" s="36"/>
      <c r="AH101" s="36" t="str">
        <f t="shared" si="399"/>
        <v/>
      </c>
      <c r="AI101" s="36">
        <f t="shared" si="404"/>
        <v>0</v>
      </c>
      <c r="AJ101" s="36" t="str">
        <f t="shared" si="409"/>
        <v/>
      </c>
      <c r="AM101" s="36" t="str">
        <f t="shared" si="400"/>
        <v/>
      </c>
      <c r="AN101" s="36">
        <f t="shared" si="405"/>
        <v>0</v>
      </c>
      <c r="AO101" s="36" t="str">
        <f t="shared" si="410"/>
        <v/>
      </c>
      <c r="AR101" s="36">
        <f t="shared" si="401"/>
        <v>0</v>
      </c>
      <c r="AS101" s="36">
        <f t="shared" si="406"/>
        <v>0</v>
      </c>
      <c r="AT101" s="36">
        <f t="shared" si="411"/>
        <v>0</v>
      </c>
      <c r="AW101" s="36">
        <f t="shared" si="402"/>
        <v>0</v>
      </c>
      <c r="AX101" s="36">
        <f t="shared" si="407"/>
        <v>0</v>
      </c>
      <c r="AY101" s="36">
        <f t="shared" si="412"/>
        <v>0</v>
      </c>
      <c r="BB101" s="36">
        <f t="shared" si="403"/>
        <v>0</v>
      </c>
      <c r="BC101" s="36">
        <f t="shared" si="408"/>
        <v>0</v>
      </c>
      <c r="BD101" s="36">
        <f t="shared" si="413"/>
        <v>0</v>
      </c>
      <c r="BU101" s="36">
        <f t="shared" si="397"/>
        <v>21</v>
      </c>
      <c r="BV101" s="36">
        <f t="shared" si="420"/>
        <v>5</v>
      </c>
      <c r="BX101" s="63" t="str">
        <f>D48</f>
        <v/>
      </c>
      <c r="BY101" s="138">
        <f>IF(E48=$BQ$2,0,(IF(E48="",0,E48)))</f>
        <v>0</v>
      </c>
      <c r="BZ101" s="36">
        <f>F48</f>
        <v>0</v>
      </c>
      <c r="CA101" s="149">
        <f>F49</f>
        <v>0</v>
      </c>
      <c r="CB101" s="138">
        <f>IF(H48=$BQ$2,0,(IF(H48="",0,H48)))</f>
        <v>0</v>
      </c>
      <c r="CC101" s="36">
        <f>I48</f>
        <v>0</v>
      </c>
      <c r="CD101" s="149">
        <f>I49</f>
        <v>0</v>
      </c>
      <c r="CE101" s="138">
        <f>IF(K48=$BQ$2,0,(IF(K48="",0,K48)))</f>
        <v>0</v>
      </c>
      <c r="CF101" s="36">
        <f>L48</f>
        <v>0</v>
      </c>
      <c r="CG101" s="149">
        <f>L49</f>
        <v>0</v>
      </c>
      <c r="CH101" s="138">
        <f>IF(N48=$BQ$2,0,(IF(N48="",0,N48)))</f>
        <v>0</v>
      </c>
      <c r="CI101" s="36">
        <f>O48</f>
        <v>0</v>
      </c>
      <c r="CJ101" s="149">
        <f>O49</f>
        <v>0</v>
      </c>
      <c r="CK101" s="138">
        <f>IF(Q48=$BQ$2,0,(IF(Q48="",0,Q48)))</f>
        <v>0</v>
      </c>
      <c r="CL101" s="36">
        <f>R48</f>
        <v>0</v>
      </c>
      <c r="CM101" s="149">
        <f>R49</f>
        <v>0</v>
      </c>
      <c r="CN101" s="138">
        <f>IF(T48=$BQ$2,0,(IF(T48="",0,T48)))</f>
        <v>0</v>
      </c>
      <c r="CO101" s="36">
        <f>U48</f>
        <v>0</v>
      </c>
      <c r="CP101" s="149">
        <f>U49</f>
        <v>0</v>
      </c>
      <c r="CQ101" s="138">
        <f>IF(W48=$BQ$2,0,(IF(W48="",0,W48)))</f>
        <v>0</v>
      </c>
      <c r="CR101" s="36">
        <f>X48</f>
        <v>0</v>
      </c>
      <c r="CS101" s="149">
        <f>X49</f>
        <v>0</v>
      </c>
      <c r="CT101" s="138"/>
      <c r="CV101" s="149"/>
      <c r="DH101" s="36">
        <f t="shared" si="379"/>
        <v>99</v>
      </c>
      <c r="DI101" s="36">
        <f t="shared" si="380"/>
        <v>21</v>
      </c>
      <c r="DJ101" s="63" t="str">
        <f t="shared" si="375"/>
        <v/>
      </c>
      <c r="DK101" s="36">
        <f t="shared" si="381"/>
        <v>5</v>
      </c>
      <c r="DL101" s="138">
        <f t="shared" si="382"/>
        <v>0</v>
      </c>
      <c r="DM101" s="149">
        <f t="shared" si="383"/>
        <v>0</v>
      </c>
      <c r="DN101" s="138" t="str">
        <f>IF(AD48="","",1)</f>
        <v/>
      </c>
      <c r="DP101" s="36" t="str">
        <f t="shared" si="384"/>
        <v/>
      </c>
      <c r="DQ101" s="36">
        <f t="shared" si="385"/>
        <v>999</v>
      </c>
      <c r="DR101" s="36" t="str">
        <f>AC48</f>
        <v/>
      </c>
      <c r="DS101" s="36">
        <f t="shared" si="386"/>
        <v>0</v>
      </c>
      <c r="DT101" s="36">
        <f t="shared" si="387"/>
        <v>0</v>
      </c>
      <c r="DU101" s="36">
        <f t="shared" si="388"/>
        <v>0</v>
      </c>
      <c r="DV101" s="36">
        <f t="shared" si="389"/>
        <v>7</v>
      </c>
      <c r="DW101" s="36">
        <f>IF(DQ101=$BK$2,0,(IF(BP48&gt;1,1,0)))</f>
        <v>0</v>
      </c>
      <c r="DX101" s="296">
        <f t="shared" si="415"/>
        <v>10000000000.000999</v>
      </c>
      <c r="DY101" s="296"/>
      <c r="DZ101" s="296"/>
      <c r="EA101" s="53">
        <f t="shared" si="391"/>
        <v>15</v>
      </c>
      <c r="EB101" s="53"/>
      <c r="EC101" s="296">
        <f t="shared" si="417"/>
        <v>10000000000.000999</v>
      </c>
      <c r="ED101" s="296"/>
      <c r="EE101" s="296"/>
      <c r="EG101" s="36">
        <f t="shared" si="418"/>
        <v>15</v>
      </c>
      <c r="EJ101" s="36">
        <f t="shared" si="394"/>
        <v>0</v>
      </c>
      <c r="EM101" s="36" t="str">
        <f>AC48</f>
        <v/>
      </c>
      <c r="EN101" s="36">
        <f t="shared" si="376"/>
        <v>999</v>
      </c>
      <c r="FU101" s="36">
        <f>IF(FU97="",0,1)</f>
        <v>1</v>
      </c>
      <c r="FX101" s="36">
        <f>IF(FX97="",0,1)</f>
        <v>1</v>
      </c>
      <c r="GA101" s="36">
        <f>IF(GA97="",0,1)</f>
        <v>0</v>
      </c>
      <c r="GH101" s="36">
        <f>IF(GD105=1,GH95,IF(GD105=2,GH96,IF(GD105=3,GH97,0)))</f>
        <v>0</v>
      </c>
      <c r="GI101" s="36">
        <f>IF(GD105=1,GI95,IF(GD105=2,GI96,IF(GD105=3,GI97,0)))</f>
        <v>0</v>
      </c>
      <c r="GY101" s="183" t="str">
        <f t="shared" si="378"/>
        <v/>
      </c>
      <c r="GZ101" s="122">
        <f t="shared" si="419"/>
        <v>22</v>
      </c>
      <c r="HB101" s="36" t="str">
        <f t="shared" si="396"/>
        <v/>
      </c>
      <c r="HC101" s="177"/>
      <c r="HD101" s="122"/>
      <c r="HF101" s="153"/>
    </row>
    <row r="102" spans="1:214" ht="12.75" hidden="1" customHeight="1" x14ac:dyDescent="0.25">
      <c r="D102" s="37"/>
      <c r="F102" s="36">
        <f>IF(E17=$BQ$2,1,(IF(E17="",1,(IF(F18="",0,1)))))</f>
        <v>1</v>
      </c>
      <c r="I102" s="36">
        <f>IF(H17=$BQ$2,1,(IF(H17="",1,(IF(I18="",0,1)))))</f>
        <v>1</v>
      </c>
      <c r="L102" s="36">
        <f>IF(K17=$BQ$2,1,(IF(K17="",1,(IF(L18="",0,1)))))</f>
        <v>1</v>
      </c>
      <c r="O102" s="36">
        <f>IF(N17=$BQ$2,1,(IF(N17="",1,(IF(O18="",0,1)))))</f>
        <v>1</v>
      </c>
      <c r="R102" s="36">
        <f>IF(Q17=$BQ$2,1,(IF(Q17="",1,(IF(R18="",0,1)))))</f>
        <v>1</v>
      </c>
      <c r="U102" s="36">
        <f>IF(T17=$BQ$2,1,(IF(T17="",1,(IF(U18="",0,1)))))</f>
        <v>1</v>
      </c>
      <c r="X102" s="36">
        <f>IF(W17=$BQ$2,1,(IF(W17="",1,(IF(X18="",0,1)))))</f>
        <v>1</v>
      </c>
      <c r="AF102" s="36">
        <f t="shared" si="414"/>
        <v>14</v>
      </c>
      <c r="AG102" s="36"/>
      <c r="AH102" s="36" t="str">
        <f t="shared" si="399"/>
        <v/>
      </c>
      <c r="AI102" s="36">
        <f t="shared" si="404"/>
        <v>0</v>
      </c>
      <c r="AJ102" s="36" t="str">
        <f t="shared" si="409"/>
        <v/>
      </c>
      <c r="AM102" s="36" t="str">
        <f t="shared" si="400"/>
        <v/>
      </c>
      <c r="AN102" s="36">
        <f t="shared" si="405"/>
        <v>0</v>
      </c>
      <c r="AO102" s="36" t="str">
        <f t="shared" si="410"/>
        <v/>
      </c>
      <c r="AR102" s="36">
        <f t="shared" si="401"/>
        <v>0</v>
      </c>
      <c r="AS102" s="36">
        <f t="shared" si="406"/>
        <v>0</v>
      </c>
      <c r="AT102" s="36">
        <f t="shared" si="411"/>
        <v>0</v>
      </c>
      <c r="AW102" s="36">
        <f t="shared" si="402"/>
        <v>0</v>
      </c>
      <c r="AX102" s="36">
        <f t="shared" si="407"/>
        <v>0</v>
      </c>
      <c r="AY102" s="36">
        <f t="shared" si="412"/>
        <v>0</v>
      </c>
      <c r="BB102" s="36">
        <f t="shared" si="403"/>
        <v>0</v>
      </c>
      <c r="BC102" s="36">
        <f t="shared" si="408"/>
        <v>0</v>
      </c>
      <c r="BD102" s="36">
        <f t="shared" si="413"/>
        <v>0</v>
      </c>
      <c r="BU102" s="36">
        <f t="shared" si="397"/>
        <v>22</v>
      </c>
      <c r="BV102" s="36">
        <f t="shared" si="420"/>
        <v>6</v>
      </c>
      <c r="BX102" s="63" t="str">
        <f>D50</f>
        <v/>
      </c>
      <c r="BY102" s="138">
        <f>IF(E50=$BQ$2,0,(IF(E50="",0,E50)))</f>
        <v>0</v>
      </c>
      <c r="BZ102" s="36">
        <f>F50</f>
        <v>0</v>
      </c>
      <c r="CA102" s="149">
        <f>F51</f>
        <v>0</v>
      </c>
      <c r="CB102" s="138">
        <f>IF(H50=$BQ$2,0,(IF(H50="",0,H50)))</f>
        <v>0</v>
      </c>
      <c r="CC102" s="36">
        <f>I50</f>
        <v>0</v>
      </c>
      <c r="CD102" s="149">
        <f>I51</f>
        <v>0</v>
      </c>
      <c r="CE102" s="138">
        <f>IF(K50=$BQ$2,0,(IF(K50="",0,K50)))</f>
        <v>0</v>
      </c>
      <c r="CF102" s="36">
        <f>L50</f>
        <v>0</v>
      </c>
      <c r="CG102" s="149">
        <f>L51</f>
        <v>0</v>
      </c>
      <c r="CH102" s="138">
        <f>IF(N50=$BQ$2,0,(IF(N50="",0,N50)))</f>
        <v>0</v>
      </c>
      <c r="CI102" s="36">
        <f>O50</f>
        <v>0</v>
      </c>
      <c r="CJ102" s="149">
        <f>O51</f>
        <v>0</v>
      </c>
      <c r="CK102" s="138">
        <f>IF(Q50=$BQ$2,0,(IF(Q50="",0,Q50)))</f>
        <v>0</v>
      </c>
      <c r="CL102" s="36">
        <f>R50</f>
        <v>0</v>
      </c>
      <c r="CM102" s="149">
        <f>R51</f>
        <v>0</v>
      </c>
      <c r="CN102" s="138">
        <f>IF(T50=$BQ$2,0,(IF(T50="",0,T50)))</f>
        <v>0</v>
      </c>
      <c r="CO102" s="36">
        <f>U50</f>
        <v>0</v>
      </c>
      <c r="CP102" s="149">
        <f>U51</f>
        <v>0</v>
      </c>
      <c r="CQ102" s="138">
        <f>IF(W50=$BQ$2,0,(IF(W50="",0,W50)))</f>
        <v>0</v>
      </c>
      <c r="CR102" s="36">
        <f>X50</f>
        <v>0</v>
      </c>
      <c r="CS102" s="149">
        <f>X51</f>
        <v>0</v>
      </c>
      <c r="CT102" s="138"/>
      <c r="CV102" s="149"/>
      <c r="DH102" s="36">
        <f t="shared" si="379"/>
        <v>99</v>
      </c>
      <c r="DI102" s="36">
        <f t="shared" si="380"/>
        <v>22</v>
      </c>
      <c r="DJ102" s="63" t="str">
        <f t="shared" si="375"/>
        <v/>
      </c>
      <c r="DK102" s="36">
        <f t="shared" si="381"/>
        <v>6</v>
      </c>
      <c r="DL102" s="138">
        <f t="shared" si="382"/>
        <v>0</v>
      </c>
      <c r="DM102" s="149">
        <f t="shared" si="383"/>
        <v>0</v>
      </c>
      <c r="DN102" s="138" t="str">
        <f>IF(AD50="","",1)</f>
        <v/>
      </c>
      <c r="DP102" s="36" t="str">
        <f t="shared" si="384"/>
        <v/>
      </c>
      <c r="DQ102" s="36">
        <f t="shared" si="385"/>
        <v>999</v>
      </c>
      <c r="DR102" s="36" t="str">
        <f>AC50</f>
        <v/>
      </c>
      <c r="DS102" s="36">
        <f t="shared" si="386"/>
        <v>0</v>
      </c>
      <c r="DT102" s="36">
        <f t="shared" si="387"/>
        <v>0</v>
      </c>
      <c r="DU102" s="36">
        <f t="shared" si="388"/>
        <v>0</v>
      </c>
      <c r="DV102" s="36">
        <f t="shared" si="389"/>
        <v>7</v>
      </c>
      <c r="DW102" s="36">
        <f>IF(DQ102=$BK$2,0,(IF(BP50&gt;1,1,0)))</f>
        <v>0</v>
      </c>
      <c r="DX102" s="296">
        <f t="shared" si="415"/>
        <v>10000000000.000999</v>
      </c>
      <c r="DY102" s="296"/>
      <c r="DZ102" s="296"/>
      <c r="EA102" s="53">
        <f t="shared" si="391"/>
        <v>15</v>
      </c>
      <c r="EB102" s="53"/>
      <c r="EC102" s="296">
        <f t="shared" si="417"/>
        <v>10000000000.000999</v>
      </c>
      <c r="ED102" s="296"/>
      <c r="EE102" s="296"/>
      <c r="EG102" s="36">
        <f t="shared" si="418"/>
        <v>15</v>
      </c>
      <c r="EJ102" s="36">
        <f t="shared" si="394"/>
        <v>0</v>
      </c>
      <c r="EM102" s="36" t="str">
        <f>AC50</f>
        <v/>
      </c>
      <c r="EN102" s="36">
        <f t="shared" si="376"/>
        <v>999</v>
      </c>
      <c r="FU102" s="36">
        <f>IF(FU98="",0,1)</f>
        <v>1</v>
      </c>
      <c r="FX102" s="36">
        <f>IF(FX98="",0,1)</f>
        <v>0</v>
      </c>
      <c r="GA102" s="36">
        <f>IF(GA98="",0,1)</f>
        <v>1</v>
      </c>
      <c r="GY102" s="183" t="str">
        <f t="shared" si="378"/>
        <v/>
      </c>
      <c r="GZ102" s="122">
        <f t="shared" si="419"/>
        <v>23</v>
      </c>
      <c r="HB102" s="36" t="str">
        <f t="shared" si="396"/>
        <v/>
      </c>
      <c r="HC102" s="177" t="str">
        <f>GY91</f>
        <v/>
      </c>
      <c r="HD102" s="122">
        <f>HD100+1</f>
        <v>12</v>
      </c>
      <c r="HF102" s="153" t="str">
        <f>HB91</f>
        <v/>
      </c>
    </row>
    <row r="103" spans="1:214" ht="12.75" hidden="1" customHeight="1" x14ac:dyDescent="0.25">
      <c r="D103" s="37">
        <v>7</v>
      </c>
      <c r="F103" s="36">
        <f>IF(E19=$BQ$2,1,(IF(E19="",1,(IF(F19="",0,1)))))</f>
        <v>1</v>
      </c>
      <c r="I103" s="36">
        <f>IF(H19=$BQ$2,1,(IF(H19="",1,(IF(I19="",0,1)))))</f>
        <v>1</v>
      </c>
      <c r="L103" s="36">
        <f>IF(K19=$BQ$2,1,(IF(K19="",1,(IF(L19="",0,1)))))</f>
        <v>1</v>
      </c>
      <c r="O103" s="36">
        <f>IF(N19=$BQ$2,1,(IF(N19="",1,(IF(O19="",0,1)))))</f>
        <v>1</v>
      </c>
      <c r="R103" s="36">
        <f>IF(Q19=$BQ$2,1,(IF(Q19="",1,(IF(R19="",0,1)))))</f>
        <v>1</v>
      </c>
      <c r="U103" s="36">
        <f>IF(T19=$BQ$2,1,(IF(T19="",1,(IF(U19="",0,1)))))</f>
        <v>1</v>
      </c>
      <c r="X103" s="36">
        <f>IF(W19=$BQ$2,1,(IF(W19="",1,(IF(X19="",0,1)))))</f>
        <v>1</v>
      </c>
      <c r="AF103" s="36">
        <f t="shared" si="414"/>
        <v>15</v>
      </c>
      <c r="AG103" s="36"/>
      <c r="AH103" s="36" t="str">
        <f t="shared" si="399"/>
        <v/>
      </c>
      <c r="AI103" s="36">
        <f t="shared" si="404"/>
        <v>0</v>
      </c>
      <c r="AJ103" s="36" t="str">
        <f t="shared" si="409"/>
        <v/>
      </c>
      <c r="AM103" s="36" t="str">
        <f t="shared" si="400"/>
        <v/>
      </c>
      <c r="AN103" s="36">
        <f t="shared" si="405"/>
        <v>0</v>
      </c>
      <c r="AO103" s="36" t="str">
        <f t="shared" si="410"/>
        <v/>
      </c>
      <c r="AR103" s="36">
        <f t="shared" si="401"/>
        <v>0</v>
      </c>
      <c r="AS103" s="36">
        <f t="shared" si="406"/>
        <v>0</v>
      </c>
      <c r="AT103" s="36">
        <f t="shared" si="411"/>
        <v>0</v>
      </c>
      <c r="AW103" s="36">
        <f t="shared" si="402"/>
        <v>0</v>
      </c>
      <c r="AX103" s="36">
        <f t="shared" si="407"/>
        <v>0</v>
      </c>
      <c r="AY103" s="36">
        <f t="shared" si="412"/>
        <v>0</v>
      </c>
      <c r="BB103" s="36">
        <f t="shared" si="403"/>
        <v>0</v>
      </c>
      <c r="BC103" s="36">
        <f t="shared" si="408"/>
        <v>0</v>
      </c>
      <c r="BD103" s="36">
        <f t="shared" si="413"/>
        <v>0</v>
      </c>
      <c r="BU103" s="36">
        <f t="shared" si="397"/>
        <v>23</v>
      </c>
      <c r="BV103" s="36">
        <f t="shared" si="420"/>
        <v>7</v>
      </c>
      <c r="BX103" s="63" t="str">
        <f>D52</f>
        <v/>
      </c>
      <c r="BY103" s="138">
        <f>IF(E52=$BQ$2,0,(IF(E52="",0,E52)))</f>
        <v>0</v>
      </c>
      <c r="BZ103" s="36">
        <f>F52</f>
        <v>0</v>
      </c>
      <c r="CA103" s="149">
        <f>F53</f>
        <v>0</v>
      </c>
      <c r="CB103" s="138">
        <f>IF(H52=$BQ$2,0,(IF(H52="",0,H52)))</f>
        <v>0</v>
      </c>
      <c r="CC103" s="36">
        <f>I52</f>
        <v>0</v>
      </c>
      <c r="CD103" s="149">
        <f>I53</f>
        <v>0</v>
      </c>
      <c r="CE103" s="138">
        <f>IF(K52=$BQ$2,0,(IF(K52="",0,K52)))</f>
        <v>0</v>
      </c>
      <c r="CF103" s="36">
        <f>L52</f>
        <v>0</v>
      </c>
      <c r="CG103" s="149">
        <f>L53</f>
        <v>0</v>
      </c>
      <c r="CH103" s="138">
        <f>IF(N52=$BQ$2,0,(IF(N52="",0,N52)))</f>
        <v>0</v>
      </c>
      <c r="CI103" s="36">
        <f>O52</f>
        <v>0</v>
      </c>
      <c r="CJ103" s="149">
        <f>O53</f>
        <v>0</v>
      </c>
      <c r="CK103" s="138">
        <f>IF(Q52=$BQ$2,0,(IF(Q52="",0,Q52)))</f>
        <v>0</v>
      </c>
      <c r="CL103" s="36">
        <f>R52</f>
        <v>0</v>
      </c>
      <c r="CM103" s="149">
        <f>R53</f>
        <v>0</v>
      </c>
      <c r="CN103" s="138">
        <f>IF(T52=$BQ$2,0,(IF(T52="",0,T52)))</f>
        <v>0</v>
      </c>
      <c r="CO103" s="36">
        <f>U52</f>
        <v>0</v>
      </c>
      <c r="CP103" s="149">
        <f>U53</f>
        <v>0</v>
      </c>
      <c r="CQ103" s="138">
        <f>IF(W52=$BQ$2,0,(IF(W52="",0,W52)))</f>
        <v>0</v>
      </c>
      <c r="CR103" s="36">
        <f>X52</f>
        <v>0</v>
      </c>
      <c r="CS103" s="149">
        <f>X53</f>
        <v>0</v>
      </c>
      <c r="CT103" s="138"/>
      <c r="CV103" s="149"/>
      <c r="DH103" s="36">
        <f t="shared" si="379"/>
        <v>99</v>
      </c>
      <c r="DI103" s="36">
        <f t="shared" si="380"/>
        <v>23</v>
      </c>
      <c r="DJ103" s="63" t="str">
        <f t="shared" si="375"/>
        <v/>
      </c>
      <c r="DK103" s="36">
        <f t="shared" si="381"/>
        <v>7</v>
      </c>
      <c r="DL103" s="138">
        <f t="shared" si="382"/>
        <v>0</v>
      </c>
      <c r="DM103" s="149">
        <f t="shared" si="383"/>
        <v>0</v>
      </c>
      <c r="DN103" s="138" t="str">
        <f>IF(AD52="","",1)</f>
        <v/>
      </c>
      <c r="DP103" s="36" t="str">
        <f t="shared" si="384"/>
        <v/>
      </c>
      <c r="DQ103" s="36">
        <f t="shared" si="385"/>
        <v>999</v>
      </c>
      <c r="DR103" s="36" t="str">
        <f>AC52</f>
        <v/>
      </c>
      <c r="DS103" s="36">
        <f t="shared" si="386"/>
        <v>0</v>
      </c>
      <c r="DT103" s="36">
        <f t="shared" si="387"/>
        <v>0</v>
      </c>
      <c r="DU103" s="36">
        <f t="shared" si="388"/>
        <v>0</v>
      </c>
      <c r="DV103" s="36">
        <f t="shared" si="389"/>
        <v>7</v>
      </c>
      <c r="DW103" s="36">
        <f>IF(DQ103=$BK$2,0,(IF(BP52&gt;1,1,0)))</f>
        <v>0</v>
      </c>
      <c r="DX103" s="296">
        <f t="shared" si="415"/>
        <v>10000000000.000999</v>
      </c>
      <c r="DY103" s="296"/>
      <c r="DZ103" s="296"/>
      <c r="EA103" s="53">
        <f t="shared" si="391"/>
        <v>15</v>
      </c>
      <c r="EB103" s="53"/>
      <c r="EC103" s="296">
        <f t="shared" si="417"/>
        <v>10000000000.000999</v>
      </c>
      <c r="ED103" s="296"/>
      <c r="EE103" s="296"/>
      <c r="EG103" s="36">
        <f t="shared" si="418"/>
        <v>15</v>
      </c>
      <c r="EJ103" s="36">
        <f t="shared" si="394"/>
        <v>0</v>
      </c>
      <c r="EM103" s="36" t="str">
        <f>AC52</f>
        <v/>
      </c>
      <c r="EN103" s="36">
        <f t="shared" si="376"/>
        <v>999</v>
      </c>
      <c r="FU103" s="36">
        <f>IF(FU99="",0,1)</f>
        <v>0</v>
      </c>
      <c r="FX103" s="36">
        <f>IF(FX99="",0,1)</f>
        <v>1</v>
      </c>
      <c r="GA103" s="36">
        <f>IF(GA99="",0,1)</f>
        <v>1</v>
      </c>
      <c r="GY103" s="183" t="str">
        <f t="shared" si="378"/>
        <v/>
      </c>
      <c r="GZ103" s="122">
        <f t="shared" si="419"/>
        <v>24</v>
      </c>
      <c r="HB103" s="36" t="str">
        <f t="shared" si="396"/>
        <v/>
      </c>
      <c r="HC103" s="177"/>
      <c r="HD103" s="122"/>
      <c r="HF103" s="153"/>
    </row>
    <row r="104" spans="1:214" ht="12.75" hidden="1" customHeight="1" x14ac:dyDescent="0.25">
      <c r="D104" s="37"/>
      <c r="F104" s="36">
        <f>IF(E19=$BQ$2,1,(IF(E19="",1,(IF(F20="",0,1)))))</f>
        <v>1</v>
      </c>
      <c r="I104" s="36">
        <f>IF(H19=$BQ$2,1,(IF(H19="",1,(IF(I20="",0,1)))))</f>
        <v>1</v>
      </c>
      <c r="L104" s="36">
        <f>IF(K19=$BQ$2,1,(IF(K19="",1,(IF(L20="",0,1)))))</f>
        <v>1</v>
      </c>
      <c r="O104" s="36">
        <f>IF(N19=$BQ$2,1,(IF(N19="",1,(IF(O20="",0,1)))))</f>
        <v>1</v>
      </c>
      <c r="R104" s="36">
        <f>IF(Q19=$BQ$2,1,(IF(Q19="",1,(IF(R20="",0,1)))))</f>
        <v>1</v>
      </c>
      <c r="U104" s="36">
        <f>IF(T19=$BQ$2,1,(IF(T19="",1,(IF(U20="",0,1)))))</f>
        <v>1</v>
      </c>
      <c r="X104" s="36">
        <f>IF(W19=$BQ$2,1,(IF(W19="",1,(IF(X20="",0,1)))))</f>
        <v>1</v>
      </c>
      <c r="AF104" s="83">
        <f t="shared" si="414"/>
        <v>16</v>
      </c>
      <c r="AG104" s="36"/>
      <c r="AH104" s="36" t="str">
        <f t="shared" si="399"/>
        <v/>
      </c>
      <c r="AI104" s="36">
        <f t="shared" si="404"/>
        <v>0</v>
      </c>
      <c r="AJ104" s="36" t="str">
        <f t="shared" si="409"/>
        <v/>
      </c>
      <c r="AM104" s="36" t="str">
        <f t="shared" si="400"/>
        <v/>
      </c>
      <c r="AN104" s="36">
        <f t="shared" si="405"/>
        <v>0</v>
      </c>
      <c r="AO104" s="36" t="str">
        <f t="shared" si="410"/>
        <v/>
      </c>
      <c r="AR104" s="36">
        <f t="shared" si="401"/>
        <v>0</v>
      </c>
      <c r="AS104" s="36">
        <f t="shared" si="406"/>
        <v>0</v>
      </c>
      <c r="AT104" s="36">
        <f t="shared" si="411"/>
        <v>0</v>
      </c>
      <c r="AW104" s="36">
        <f t="shared" si="402"/>
        <v>0</v>
      </c>
      <c r="AX104" s="36">
        <f t="shared" si="407"/>
        <v>0</v>
      </c>
      <c r="AY104" s="36">
        <f t="shared" si="412"/>
        <v>0</v>
      </c>
      <c r="BB104" s="36">
        <f t="shared" si="403"/>
        <v>0</v>
      </c>
      <c r="BC104" s="36">
        <f t="shared" si="408"/>
        <v>0</v>
      </c>
      <c r="BD104" s="36">
        <f t="shared" si="413"/>
        <v>0</v>
      </c>
      <c r="BU104" s="36">
        <f t="shared" si="397"/>
        <v>24</v>
      </c>
      <c r="BV104" s="36">
        <f t="shared" si="420"/>
        <v>8</v>
      </c>
      <c r="BX104" s="63" t="str">
        <f>D54</f>
        <v/>
      </c>
      <c r="BY104" s="138">
        <f>IF(E54=$BQ$2,0,(IF(E54="",0,E54)))</f>
        <v>0</v>
      </c>
      <c r="BZ104" s="36">
        <f>F54</f>
        <v>0</v>
      </c>
      <c r="CA104" s="149">
        <f>F55</f>
        <v>0</v>
      </c>
      <c r="CB104" s="138">
        <f>IF(H54=$BQ$2,0,(IF(H54="",0,H54)))</f>
        <v>0</v>
      </c>
      <c r="CC104" s="36">
        <f>I54</f>
        <v>0</v>
      </c>
      <c r="CD104" s="149">
        <f>I55</f>
        <v>0</v>
      </c>
      <c r="CE104" s="138">
        <f>IF(K54=$BQ$2,0,(IF(K54="",0,K54)))</f>
        <v>0</v>
      </c>
      <c r="CF104" s="36">
        <f>L54</f>
        <v>0</v>
      </c>
      <c r="CG104" s="149">
        <f>L55</f>
        <v>0</v>
      </c>
      <c r="CH104" s="138">
        <f>IF(N54=$BQ$2,0,(IF(N54="",0,N54)))</f>
        <v>0</v>
      </c>
      <c r="CI104" s="36">
        <f>O54</f>
        <v>0</v>
      </c>
      <c r="CJ104" s="149">
        <f>O55</f>
        <v>0</v>
      </c>
      <c r="CK104" s="138">
        <f>IF(Q54=$BQ$2,0,(IF(Q54="",0,Q54)))</f>
        <v>0</v>
      </c>
      <c r="CL104" s="36">
        <f>R54</f>
        <v>0</v>
      </c>
      <c r="CM104" s="149">
        <f>R55</f>
        <v>0</v>
      </c>
      <c r="CN104" s="138">
        <f>IF(T54=$BQ$2,0,(IF(T54="",0,T54)))</f>
        <v>0</v>
      </c>
      <c r="CO104" s="36">
        <f>U54</f>
        <v>0</v>
      </c>
      <c r="CP104" s="149">
        <f>U55</f>
        <v>0</v>
      </c>
      <c r="CQ104" s="138">
        <f>IF(W54=$BQ$2,0,(IF(W54="",0,W54)))</f>
        <v>0</v>
      </c>
      <c r="CR104" s="36">
        <f>X54</f>
        <v>0</v>
      </c>
      <c r="CS104" s="149">
        <f>X55</f>
        <v>0</v>
      </c>
      <c r="CT104" s="138"/>
      <c r="CV104" s="149"/>
      <c r="DH104" s="36">
        <f t="shared" si="379"/>
        <v>99</v>
      </c>
      <c r="DI104" s="36">
        <f t="shared" si="380"/>
        <v>24</v>
      </c>
      <c r="DJ104" s="63" t="str">
        <f t="shared" si="375"/>
        <v/>
      </c>
      <c r="DK104" s="36">
        <f t="shared" si="381"/>
        <v>8</v>
      </c>
      <c r="DL104" s="138">
        <f t="shared" si="382"/>
        <v>0</v>
      </c>
      <c r="DM104" s="149">
        <f t="shared" si="383"/>
        <v>0</v>
      </c>
      <c r="DN104" s="138" t="str">
        <f>IF(AD54="","",1)</f>
        <v/>
      </c>
      <c r="DP104" s="36" t="str">
        <f t="shared" si="384"/>
        <v/>
      </c>
      <c r="DQ104" s="36">
        <f t="shared" si="385"/>
        <v>999</v>
      </c>
      <c r="DR104" s="36" t="str">
        <f>AC54</f>
        <v/>
      </c>
      <c r="DS104" s="36">
        <f t="shared" si="386"/>
        <v>0</v>
      </c>
      <c r="DT104" s="36">
        <f t="shared" si="387"/>
        <v>0</v>
      </c>
      <c r="DU104" s="36">
        <f t="shared" si="388"/>
        <v>0</v>
      </c>
      <c r="DV104" s="36">
        <f t="shared" si="389"/>
        <v>7</v>
      </c>
      <c r="DW104" s="36">
        <f>IF(DQ104=$BK$2,0,(IF(BP54&gt;1,1,0)))</f>
        <v>0</v>
      </c>
      <c r="DX104" s="296">
        <f t="shared" si="415"/>
        <v>10000000000.000999</v>
      </c>
      <c r="DY104" s="296"/>
      <c r="DZ104" s="296"/>
      <c r="EA104" s="53">
        <f t="shared" si="391"/>
        <v>15</v>
      </c>
      <c r="EB104" s="53"/>
      <c r="EC104" s="296">
        <f t="shared" si="417"/>
        <v>10000000000.000999</v>
      </c>
      <c r="ED104" s="296"/>
      <c r="EE104" s="296"/>
      <c r="EG104" s="36">
        <f t="shared" si="418"/>
        <v>15</v>
      </c>
      <c r="EJ104" s="36">
        <f t="shared" si="394"/>
        <v>0</v>
      </c>
      <c r="EM104" s="36" t="str">
        <f>AC54</f>
        <v/>
      </c>
      <c r="EN104" s="36">
        <f t="shared" si="376"/>
        <v>999</v>
      </c>
      <c r="FU104" s="36">
        <f>SUM(FU101:FU103)</f>
        <v>2</v>
      </c>
      <c r="FX104" s="36">
        <f>SUM(FX101:FX103)</f>
        <v>2</v>
      </c>
      <c r="GA104" s="36">
        <f>SUM(GA101:GA103)</f>
        <v>2</v>
      </c>
      <c r="GY104" s="183" t="str">
        <f t="shared" si="378"/>
        <v/>
      </c>
      <c r="GZ104" s="122">
        <f t="shared" si="419"/>
        <v>25</v>
      </c>
      <c r="HB104" s="36" t="str">
        <f t="shared" si="396"/>
        <v/>
      </c>
      <c r="HC104" s="177" t="str">
        <f>GY92</f>
        <v/>
      </c>
      <c r="HD104" s="122">
        <f>HD102+1</f>
        <v>13</v>
      </c>
      <c r="HF104" s="153" t="str">
        <f>HB92</f>
        <v/>
      </c>
    </row>
    <row r="105" spans="1:214" ht="12.75" hidden="1" customHeight="1" x14ac:dyDescent="0.25">
      <c r="D105" s="37">
        <v>8</v>
      </c>
      <c r="F105" s="36">
        <f>IF(E21=$BQ$2,1,(IF(E21="",1,(IF(F21="",0,1)))))</f>
        <v>1</v>
      </c>
      <c r="I105" s="36">
        <f>IF(H21=$BQ$2,1,(IF(H21="",1,(IF(I21="",0,1)))))</f>
        <v>1</v>
      </c>
      <c r="L105" s="36">
        <f>IF(K21=$BQ$2,1,(IF(K21="",1,(IF(L21="",0,1)))))</f>
        <v>1</v>
      </c>
      <c r="O105" s="36">
        <f>IF(N21=$BQ$2,1,(IF(N21="",1,(IF(O21="",0,1)))))</f>
        <v>1</v>
      </c>
      <c r="R105" s="36">
        <f>IF(Q21=$BQ$2,1,(IF(Q21="",1,(IF(R21="",0,1)))))</f>
        <v>1</v>
      </c>
      <c r="U105" s="36">
        <f>IF(T21=$BQ$2,1,(IF(T21="",1,(IF(U21="",0,1)))))</f>
        <v>1</v>
      </c>
      <c r="X105" s="36">
        <f>IF(W21=$BQ$2,1,(IF(W21="",1,(IF(X21="",0,1)))))</f>
        <v>1</v>
      </c>
      <c r="AF105" s="85">
        <f t="shared" si="414"/>
        <v>17</v>
      </c>
      <c r="AG105" s="36"/>
      <c r="AH105" s="36">
        <f t="shared" ref="AH105:AJ120" si="421">AH40</f>
        <v>5</v>
      </c>
      <c r="AI105" s="36">
        <f t="shared" si="421"/>
        <v>6</v>
      </c>
      <c r="AJ105" s="36">
        <f t="shared" si="421"/>
        <v>6</v>
      </c>
      <c r="AM105" s="36">
        <f t="shared" ref="AM105:AO120" si="422">AM40</f>
        <v>5</v>
      </c>
      <c r="AN105" s="36">
        <f t="shared" si="422"/>
        <v>0</v>
      </c>
      <c r="AO105" s="36" t="str">
        <f t="shared" si="422"/>
        <v/>
      </c>
      <c r="AR105" s="36" t="str">
        <f t="shared" ref="AR105:AT120" si="423">AR40</f>
        <v/>
      </c>
      <c r="AS105" s="36">
        <f t="shared" si="423"/>
        <v>0</v>
      </c>
      <c r="AT105" s="36" t="str">
        <f t="shared" si="423"/>
        <v/>
      </c>
      <c r="AW105" s="36" t="str">
        <f t="shared" ref="AW105:AY120" si="424">AW40</f>
        <v/>
      </c>
      <c r="AX105" s="36">
        <f t="shared" si="424"/>
        <v>0</v>
      </c>
      <c r="AY105" s="36" t="str">
        <f t="shared" si="424"/>
        <v/>
      </c>
      <c r="BB105" s="36" t="str">
        <f t="shared" ref="BB105:BD120" si="425">BB40</f>
        <v/>
      </c>
      <c r="BC105" s="36">
        <f t="shared" si="425"/>
        <v>0</v>
      </c>
      <c r="BD105" s="36" t="str">
        <f t="shared" si="425"/>
        <v/>
      </c>
      <c r="BU105" s="36">
        <f t="shared" si="397"/>
        <v>25</v>
      </c>
      <c r="BV105" s="36">
        <f t="shared" si="420"/>
        <v>9</v>
      </c>
      <c r="BX105" s="63" t="str">
        <f>D56</f>
        <v/>
      </c>
      <c r="BY105" s="138">
        <f>IF(E56=$BQ$2,0,(IF(E56="",0,E56)))</f>
        <v>0</v>
      </c>
      <c r="BZ105" s="36">
        <f>F56</f>
        <v>0</v>
      </c>
      <c r="CA105" s="149">
        <f>F57</f>
        <v>0</v>
      </c>
      <c r="CB105" s="138">
        <f>IF(H56=$BQ$2,0,(IF(H56="",0,H56)))</f>
        <v>0</v>
      </c>
      <c r="CC105" s="36">
        <f>I56</f>
        <v>0</v>
      </c>
      <c r="CD105" s="149">
        <f>I57</f>
        <v>0</v>
      </c>
      <c r="CE105" s="138">
        <f>IF(K56=$BQ$2,0,(IF(K56="",0,K56)))</f>
        <v>0</v>
      </c>
      <c r="CF105" s="36">
        <f>L56</f>
        <v>0</v>
      </c>
      <c r="CG105" s="149">
        <f>L57</f>
        <v>0</v>
      </c>
      <c r="CH105" s="138">
        <f>IF(N56=$BQ$2,0,(IF(N56="",0,N56)))</f>
        <v>0</v>
      </c>
      <c r="CI105" s="36">
        <f>O56</f>
        <v>0</v>
      </c>
      <c r="CJ105" s="149">
        <f>O57</f>
        <v>0</v>
      </c>
      <c r="CK105" s="138">
        <f>IF(Q56=$BQ$2,0,(IF(Q56="",0,Q56)))</f>
        <v>0</v>
      </c>
      <c r="CL105" s="36">
        <f>R56</f>
        <v>0</v>
      </c>
      <c r="CM105" s="149">
        <f>R57</f>
        <v>0</v>
      </c>
      <c r="CN105" s="138">
        <f>IF(T56=$BQ$2,0,(IF(T56="",0,T56)))</f>
        <v>0</v>
      </c>
      <c r="CO105" s="36">
        <f>U56</f>
        <v>0</v>
      </c>
      <c r="CP105" s="149">
        <f>U57</f>
        <v>0</v>
      </c>
      <c r="CQ105" s="138">
        <f>IF(W56=$BQ$2,0,(IF(W56="",0,W56)))</f>
        <v>0</v>
      </c>
      <c r="CR105" s="36">
        <f>X56</f>
        <v>0</v>
      </c>
      <c r="CS105" s="149">
        <f>X57</f>
        <v>0</v>
      </c>
      <c r="CT105" s="138"/>
      <c r="CV105" s="149"/>
      <c r="DH105" s="36">
        <f t="shared" si="379"/>
        <v>99</v>
      </c>
      <c r="DI105" s="36">
        <f t="shared" si="380"/>
        <v>25</v>
      </c>
      <c r="DJ105" s="63" t="str">
        <f t="shared" si="375"/>
        <v/>
      </c>
      <c r="DK105" s="36">
        <f t="shared" si="381"/>
        <v>9</v>
      </c>
      <c r="DL105" s="138">
        <f t="shared" si="382"/>
        <v>0</v>
      </c>
      <c r="DM105" s="149">
        <f t="shared" si="383"/>
        <v>0</v>
      </c>
      <c r="DN105" s="138" t="str">
        <f>IF(AD56="","",1)</f>
        <v/>
      </c>
      <c r="DP105" s="36" t="str">
        <f t="shared" si="384"/>
        <v/>
      </c>
      <c r="DQ105" s="36">
        <f t="shared" si="385"/>
        <v>999</v>
      </c>
      <c r="DR105" s="36" t="str">
        <f>AC56</f>
        <v/>
      </c>
      <c r="DS105" s="36">
        <f t="shared" si="386"/>
        <v>0</v>
      </c>
      <c r="DT105" s="36">
        <f t="shared" si="387"/>
        <v>0</v>
      </c>
      <c r="DU105" s="36">
        <f t="shared" si="388"/>
        <v>0</v>
      </c>
      <c r="DV105" s="36">
        <f t="shared" si="389"/>
        <v>7</v>
      </c>
      <c r="DW105" s="36">
        <f>IF(DQ105=$BK$2,0,(IF(BP56&gt;1,1,0)))</f>
        <v>0</v>
      </c>
      <c r="DX105" s="296">
        <f t="shared" si="415"/>
        <v>10000000000.000999</v>
      </c>
      <c r="DY105" s="296"/>
      <c r="DZ105" s="296"/>
      <c r="EA105" s="53">
        <f t="shared" si="391"/>
        <v>15</v>
      </c>
      <c r="EB105" s="53"/>
      <c r="EC105" s="296">
        <f t="shared" si="417"/>
        <v>10000000000.000999</v>
      </c>
      <c r="ED105" s="296"/>
      <c r="EE105" s="296"/>
      <c r="EG105" s="36">
        <f t="shared" si="418"/>
        <v>15</v>
      </c>
      <c r="EJ105" s="36">
        <f t="shared" si="394"/>
        <v>0</v>
      </c>
      <c r="EM105" s="36" t="str">
        <f>AC56</f>
        <v/>
      </c>
      <c r="EN105" s="36">
        <f t="shared" si="376"/>
        <v>999</v>
      </c>
      <c r="FU105" s="36">
        <f>IF(FU104=2,0,1)</f>
        <v>0</v>
      </c>
      <c r="FX105" s="36">
        <f>IF(FX104=2,0,2)</f>
        <v>0</v>
      </c>
      <c r="GA105" s="36">
        <f>IF(GA104=2,0,4)</f>
        <v>0</v>
      </c>
      <c r="GD105" s="36">
        <f>FU105+FX105+GA105</f>
        <v>0</v>
      </c>
      <c r="GY105" s="183" t="str">
        <f t="shared" si="378"/>
        <v/>
      </c>
      <c r="GZ105" s="122">
        <f t="shared" si="419"/>
        <v>26</v>
      </c>
      <c r="HB105" s="36" t="str">
        <f t="shared" si="396"/>
        <v/>
      </c>
      <c r="HC105" s="177"/>
      <c r="HD105" s="122"/>
      <c r="HF105" s="153"/>
    </row>
    <row r="106" spans="1:214" ht="12.75" hidden="1" customHeight="1" x14ac:dyDescent="0.25">
      <c r="D106" s="37"/>
      <c r="F106" s="36">
        <f>IF(E21=$BQ$2,1,(IF(E21="",1,(IF(F22="",0,1)))))</f>
        <v>1</v>
      </c>
      <c r="I106" s="36">
        <f>IF(H21=$BQ$2,1,(IF(H21="",1,(IF(I22="",0,1)))))</f>
        <v>1</v>
      </c>
      <c r="L106" s="36">
        <f>IF(K21=$BQ$2,1,(IF(K21="",1,(IF(L22="",0,1)))))</f>
        <v>1</v>
      </c>
      <c r="O106" s="36">
        <f>IF(N21=$BQ$2,1,(IF(N21="",1,(IF(O22="",0,1)))))</f>
        <v>1</v>
      </c>
      <c r="R106" s="36">
        <f>IF(Q21=$BQ$2,1,(IF(Q21="",1,(IF(R22="",0,1)))))</f>
        <v>1</v>
      </c>
      <c r="U106" s="36">
        <f>IF(T21=$BQ$2,1,(IF(T21="",1,(IF(U22="",0,1)))))</f>
        <v>1</v>
      </c>
      <c r="X106" s="36">
        <f>IF(W21=$BQ$2,1,(IF(W21="",1,(IF(X22="",0,1)))))</f>
        <v>1</v>
      </c>
      <c r="AF106" s="36">
        <f t="shared" si="414"/>
        <v>18</v>
      </c>
      <c r="AG106" s="36"/>
      <c r="AH106" s="36">
        <f t="shared" si="421"/>
        <v>6</v>
      </c>
      <c r="AI106" s="36">
        <f t="shared" si="421"/>
        <v>0</v>
      </c>
      <c r="AJ106" s="36">
        <f t="shared" si="421"/>
        <v>5</v>
      </c>
      <c r="AM106" s="36">
        <f t="shared" si="422"/>
        <v>6</v>
      </c>
      <c r="AN106" s="36">
        <f t="shared" si="422"/>
        <v>0</v>
      </c>
      <c r="AO106" s="36" t="str">
        <f t="shared" si="422"/>
        <v/>
      </c>
      <c r="AR106" s="36" t="str">
        <f t="shared" si="423"/>
        <v/>
      </c>
      <c r="AS106" s="36">
        <f t="shared" si="423"/>
        <v>0</v>
      </c>
      <c r="AT106" s="36" t="str">
        <f t="shared" si="423"/>
        <v/>
      </c>
      <c r="AW106" s="36" t="str">
        <f t="shared" si="424"/>
        <v/>
      </c>
      <c r="AX106" s="36">
        <f t="shared" si="424"/>
        <v>0</v>
      </c>
      <c r="AY106" s="36" t="str">
        <f t="shared" si="424"/>
        <v/>
      </c>
      <c r="BB106" s="36" t="str">
        <f t="shared" si="425"/>
        <v/>
      </c>
      <c r="BC106" s="36">
        <f t="shared" si="425"/>
        <v>0</v>
      </c>
      <c r="BD106" s="36" t="str">
        <f t="shared" si="425"/>
        <v/>
      </c>
      <c r="BU106" s="36">
        <f t="shared" si="397"/>
        <v>26</v>
      </c>
      <c r="BV106" s="36">
        <f t="shared" si="420"/>
        <v>10</v>
      </c>
      <c r="BX106" s="63" t="str">
        <f>D58</f>
        <v/>
      </c>
      <c r="BY106" s="138">
        <f>IF(E58=$BQ$2,0,(IF(E58="",0,E58)))</f>
        <v>0</v>
      </c>
      <c r="BZ106" s="36">
        <f>F58</f>
        <v>0</v>
      </c>
      <c r="CA106" s="149">
        <f>F59</f>
        <v>0</v>
      </c>
      <c r="CB106" s="138">
        <f>IF(H58=$BQ$2,0,(IF(H58="",0,H58)))</f>
        <v>0</v>
      </c>
      <c r="CC106" s="36">
        <f>I58</f>
        <v>0</v>
      </c>
      <c r="CD106" s="149">
        <f>I59</f>
        <v>0</v>
      </c>
      <c r="CE106" s="138">
        <f>IF(K58=$BQ$2,0,(IF(K58="",0,K58)))</f>
        <v>0</v>
      </c>
      <c r="CF106" s="36">
        <f>L58</f>
        <v>0</v>
      </c>
      <c r="CG106" s="149">
        <f>L59</f>
        <v>0</v>
      </c>
      <c r="CH106" s="138">
        <f>IF(N58=$BQ$2,0,(IF(N58="",0,N58)))</f>
        <v>0</v>
      </c>
      <c r="CI106" s="36">
        <f>O58</f>
        <v>0</v>
      </c>
      <c r="CJ106" s="149">
        <f>O59</f>
        <v>0</v>
      </c>
      <c r="CK106" s="138">
        <f>IF(Q58=$BQ$2,0,(IF(Q58="",0,Q58)))</f>
        <v>0</v>
      </c>
      <c r="CL106" s="36">
        <f>R58</f>
        <v>0</v>
      </c>
      <c r="CM106" s="149">
        <f>R59</f>
        <v>0</v>
      </c>
      <c r="CN106" s="138">
        <f>IF(T58=$BQ$2,0,(IF(T58="",0,T58)))</f>
        <v>0</v>
      </c>
      <c r="CO106" s="36">
        <f>U58</f>
        <v>0</v>
      </c>
      <c r="CP106" s="149">
        <f>U59</f>
        <v>0</v>
      </c>
      <c r="CQ106" s="138">
        <f>IF(W58=$BQ$2,0,(IF(W58="",0,W58)))</f>
        <v>0</v>
      </c>
      <c r="CR106" s="36">
        <f>X58</f>
        <v>0</v>
      </c>
      <c r="CS106" s="149">
        <f>X59</f>
        <v>0</v>
      </c>
      <c r="CT106" s="138"/>
      <c r="CV106" s="149"/>
      <c r="DH106" s="36">
        <f t="shared" si="379"/>
        <v>99</v>
      </c>
      <c r="DI106" s="36">
        <f t="shared" si="380"/>
        <v>26</v>
      </c>
      <c r="DJ106" s="63" t="str">
        <f t="shared" si="375"/>
        <v/>
      </c>
      <c r="DK106" s="36">
        <f t="shared" si="381"/>
        <v>10</v>
      </c>
      <c r="DL106" s="138">
        <f t="shared" si="382"/>
        <v>0</v>
      </c>
      <c r="DM106" s="149">
        <f t="shared" si="383"/>
        <v>0</v>
      </c>
      <c r="DN106" s="138" t="str">
        <f>IF(AD58="","",1)</f>
        <v/>
      </c>
      <c r="DP106" s="36" t="str">
        <f t="shared" si="384"/>
        <v/>
      </c>
      <c r="DQ106" s="36">
        <f t="shared" si="385"/>
        <v>999</v>
      </c>
      <c r="DR106" s="36" t="str">
        <f>AC58</f>
        <v/>
      </c>
      <c r="DS106" s="36">
        <f t="shared" si="386"/>
        <v>0</v>
      </c>
      <c r="DT106" s="36">
        <f t="shared" si="387"/>
        <v>0</v>
      </c>
      <c r="DU106" s="36">
        <f t="shared" si="388"/>
        <v>0</v>
      </c>
      <c r="DV106" s="36">
        <f t="shared" si="389"/>
        <v>7</v>
      </c>
      <c r="DW106" s="36">
        <f>IF(DQ106=$BK$2,0,(IF(BP58&gt;1,1,0)))</f>
        <v>0</v>
      </c>
      <c r="DX106" s="296">
        <f t="shared" si="415"/>
        <v>10000000000.000999</v>
      </c>
      <c r="DY106" s="296"/>
      <c r="DZ106" s="296"/>
      <c r="EA106" s="53">
        <f t="shared" si="391"/>
        <v>15</v>
      </c>
      <c r="EB106" s="53"/>
      <c r="EC106" s="296">
        <f t="shared" si="417"/>
        <v>10000000000.000999</v>
      </c>
      <c r="ED106" s="296"/>
      <c r="EE106" s="296"/>
      <c r="EG106" s="36">
        <f t="shared" si="418"/>
        <v>15</v>
      </c>
      <c r="EJ106" s="36">
        <f t="shared" si="394"/>
        <v>0</v>
      </c>
      <c r="EM106" s="36" t="str">
        <f>AC58</f>
        <v/>
      </c>
      <c r="EN106" s="36">
        <f t="shared" si="376"/>
        <v>999</v>
      </c>
      <c r="GC106" s="309" t="str">
        <f>[1]List1!$A$23</f>
        <v>1. repas</v>
      </c>
      <c r="GD106" s="309"/>
      <c r="GF106" s="309" t="str">
        <f>[1]List1!$A$24</f>
        <v>2. repas</v>
      </c>
      <c r="GG106" s="309"/>
      <c r="GI106" s="309" t="str">
        <f>[1]List1!$A$25</f>
        <v>3. repas</v>
      </c>
      <c r="GJ106" s="309"/>
      <c r="GO106" s="309" t="str">
        <f>[1]List1!$A$23</f>
        <v>1. repas</v>
      </c>
      <c r="GP106" s="309"/>
      <c r="GR106" s="309" t="str">
        <f>[1]List1!$A$24</f>
        <v>2. repas</v>
      </c>
      <c r="GS106" s="309"/>
      <c r="GU106" s="309" t="str">
        <f>[1]List1!$A$25</f>
        <v>3. repas</v>
      </c>
      <c r="GV106" s="309"/>
      <c r="GY106" s="183" t="str">
        <f t="shared" si="378"/>
        <v/>
      </c>
      <c r="GZ106" s="122">
        <f t="shared" si="419"/>
        <v>27</v>
      </c>
      <c r="HB106" s="36" t="str">
        <f t="shared" si="396"/>
        <v/>
      </c>
      <c r="HC106" s="177" t="str">
        <f>GY93</f>
        <v/>
      </c>
      <c r="HD106" s="122">
        <f>HD104+1</f>
        <v>14</v>
      </c>
      <c r="HF106" s="153" t="str">
        <f>HB93</f>
        <v/>
      </c>
    </row>
    <row r="107" spans="1:214" ht="12.75" hidden="1" customHeight="1" x14ac:dyDescent="0.25">
      <c r="D107" s="37">
        <v>9</v>
      </c>
      <c r="F107" s="36">
        <f>IF(E23=$BQ$2,1,(IF(E23="",1,(IF(F23="",0,1)))))</f>
        <v>1</v>
      </c>
      <c r="I107" s="36">
        <f>IF(H23=$BQ$2,1,(IF(H23="",1,(IF(I23="",0,1)))))</f>
        <v>1</v>
      </c>
      <c r="L107" s="36">
        <f>IF(K23=$BQ$2,1,(IF(K23="",1,(IF(L23="",0,1)))))</f>
        <v>1</v>
      </c>
      <c r="O107" s="36">
        <f>IF(N23=$BQ$2,1,(IF(N23="",1,(IF(O23="",0,1)))))</f>
        <v>1</v>
      </c>
      <c r="R107" s="36">
        <f>IF(Q23=$BQ$2,1,(IF(Q23="",1,(IF(R23="",0,1)))))</f>
        <v>1</v>
      </c>
      <c r="U107" s="36">
        <f>IF(T23=$BQ$2,1,(IF(T23="",1,(IF(U23="",0,1)))))</f>
        <v>1</v>
      </c>
      <c r="X107" s="36">
        <f>IF(W23=$BQ$2,1,(IF(W23="",1,(IF(X23="",0,1)))))</f>
        <v>1</v>
      </c>
      <c r="AF107" s="36">
        <f t="shared" si="414"/>
        <v>19</v>
      </c>
      <c r="AG107" s="36"/>
      <c r="AH107" s="36" t="str">
        <f t="shared" si="421"/>
        <v/>
      </c>
      <c r="AI107" s="36">
        <f t="shared" si="421"/>
        <v>0</v>
      </c>
      <c r="AJ107" s="36" t="str">
        <f t="shared" si="421"/>
        <v/>
      </c>
      <c r="AM107" s="36" t="str">
        <f t="shared" si="422"/>
        <v/>
      </c>
      <c r="AN107" s="36">
        <f t="shared" si="422"/>
        <v>0</v>
      </c>
      <c r="AO107" s="36" t="str">
        <f t="shared" si="422"/>
        <v/>
      </c>
      <c r="AR107" s="36" t="str">
        <f t="shared" si="423"/>
        <v/>
      </c>
      <c r="AS107" s="36">
        <f t="shared" si="423"/>
        <v>0</v>
      </c>
      <c r="AT107" s="36" t="str">
        <f t="shared" si="423"/>
        <v/>
      </c>
      <c r="AW107" s="36" t="str">
        <f t="shared" si="424"/>
        <v/>
      </c>
      <c r="AX107" s="36">
        <f t="shared" si="424"/>
        <v>0</v>
      </c>
      <c r="AY107" s="36" t="str">
        <f t="shared" si="424"/>
        <v/>
      </c>
      <c r="BB107" s="36" t="str">
        <f t="shared" si="425"/>
        <v/>
      </c>
      <c r="BC107" s="36">
        <f t="shared" si="425"/>
        <v>0</v>
      </c>
      <c r="BD107" s="36" t="str">
        <f t="shared" si="425"/>
        <v/>
      </c>
      <c r="BU107" s="36">
        <f t="shared" si="397"/>
        <v>27</v>
      </c>
      <c r="BV107" s="36">
        <f t="shared" si="420"/>
        <v>11</v>
      </c>
      <c r="BX107" s="63" t="str">
        <f>D60</f>
        <v/>
      </c>
      <c r="BY107" s="138">
        <f>IF(E60=$BQ$2,0,(IF(E60="",0,E60)))</f>
        <v>0</v>
      </c>
      <c r="BZ107" s="36">
        <f>F60</f>
        <v>0</v>
      </c>
      <c r="CA107" s="149">
        <f>F61</f>
        <v>0</v>
      </c>
      <c r="CB107" s="138">
        <f>IF(H60=$BQ$2,0,(IF(H60="",0,H60)))</f>
        <v>0</v>
      </c>
      <c r="CC107" s="36">
        <f>I60</f>
        <v>0</v>
      </c>
      <c r="CD107" s="149">
        <f>I61</f>
        <v>0</v>
      </c>
      <c r="CE107" s="138">
        <f>IF(K60=$BQ$2,0,(IF(K60="",0,K60)))</f>
        <v>0</v>
      </c>
      <c r="CF107" s="36">
        <f>L60</f>
        <v>0</v>
      </c>
      <c r="CG107" s="149">
        <f>L61</f>
        <v>0</v>
      </c>
      <c r="CH107" s="138">
        <f>IF(N60=$BQ$2,0,(IF(N60="",0,N60)))</f>
        <v>0</v>
      </c>
      <c r="CI107" s="36">
        <f>O60</f>
        <v>0</v>
      </c>
      <c r="CJ107" s="149">
        <f>O61</f>
        <v>0</v>
      </c>
      <c r="CK107" s="138">
        <f>IF(Q60=$BQ$2,0,(IF(Q60="",0,Q60)))</f>
        <v>0</v>
      </c>
      <c r="CL107" s="36">
        <f>R60</f>
        <v>0</v>
      </c>
      <c r="CM107" s="149">
        <f>R61</f>
        <v>0</v>
      </c>
      <c r="CN107" s="138">
        <f>IF(T60=$BQ$2,0,(IF(T60="",0,T60)))</f>
        <v>0</v>
      </c>
      <c r="CO107" s="36">
        <f>U60</f>
        <v>0</v>
      </c>
      <c r="CP107" s="149">
        <f>U61</f>
        <v>0</v>
      </c>
      <c r="CQ107" s="138">
        <f>IF(W60=$BQ$2,0,(IF(W60="",0,W60)))</f>
        <v>0</v>
      </c>
      <c r="CR107" s="36">
        <f>X60</f>
        <v>0</v>
      </c>
      <c r="CS107" s="149">
        <f>X61</f>
        <v>0</v>
      </c>
      <c r="CT107" s="138"/>
      <c r="CV107" s="149"/>
      <c r="DH107" s="36">
        <f t="shared" si="379"/>
        <v>99</v>
      </c>
      <c r="DI107" s="36">
        <f t="shared" si="380"/>
        <v>27</v>
      </c>
      <c r="DJ107" s="63" t="str">
        <f t="shared" si="375"/>
        <v/>
      </c>
      <c r="DK107" s="36">
        <f t="shared" si="381"/>
        <v>11</v>
      </c>
      <c r="DL107" s="138">
        <f t="shared" si="382"/>
        <v>0</v>
      </c>
      <c r="DM107" s="149">
        <f t="shared" si="383"/>
        <v>0</v>
      </c>
      <c r="DN107" s="138" t="str">
        <f>IF(AD60="","",1)</f>
        <v/>
      </c>
      <c r="DP107" s="36" t="str">
        <f t="shared" si="384"/>
        <v/>
      </c>
      <c r="DQ107" s="36">
        <f t="shared" si="385"/>
        <v>999</v>
      </c>
      <c r="DR107" s="36" t="str">
        <f>AC60</f>
        <v/>
      </c>
      <c r="DS107" s="36">
        <f t="shared" si="386"/>
        <v>0</v>
      </c>
      <c r="DT107" s="36">
        <f t="shared" si="387"/>
        <v>0</v>
      </c>
      <c r="DU107" s="36">
        <f t="shared" si="388"/>
        <v>0</v>
      </c>
      <c r="DV107" s="36">
        <f t="shared" si="389"/>
        <v>7</v>
      </c>
      <c r="DW107" s="36">
        <f>IF(DQ107=$BK$2,0,(IF(BP60&gt;1,1,0)))</f>
        <v>0</v>
      </c>
      <c r="DX107" s="296">
        <f t="shared" si="415"/>
        <v>10000000000.000999</v>
      </c>
      <c r="DY107" s="296"/>
      <c r="DZ107" s="296"/>
      <c r="EA107" s="53">
        <f t="shared" si="391"/>
        <v>15</v>
      </c>
      <c r="EB107" s="53"/>
      <c r="EC107" s="296">
        <f t="shared" si="417"/>
        <v>10000000000.000999</v>
      </c>
      <c r="ED107" s="296"/>
      <c r="EE107" s="296"/>
      <c r="EG107" s="36">
        <f t="shared" si="418"/>
        <v>15</v>
      </c>
      <c r="EJ107" s="36">
        <f t="shared" si="394"/>
        <v>0</v>
      </c>
      <c r="EM107" s="36" t="str">
        <f>AC60</f>
        <v/>
      </c>
      <c r="EN107" s="36">
        <f t="shared" si="376"/>
        <v>999</v>
      </c>
      <c r="GB107" s="36">
        <v>0</v>
      </c>
      <c r="GC107" s="140"/>
      <c r="GD107" s="85"/>
      <c r="GE107" s="85"/>
      <c r="GF107" s="85"/>
      <c r="GG107" s="85"/>
      <c r="GH107" s="85"/>
      <c r="GI107" s="85"/>
      <c r="GJ107" s="141"/>
      <c r="GN107" s="36">
        <v>0</v>
      </c>
      <c r="GO107" s="140"/>
      <c r="GP107" s="85"/>
      <c r="GQ107" s="85"/>
      <c r="GR107" s="85"/>
      <c r="GS107" s="85"/>
      <c r="GT107" s="85"/>
      <c r="GU107" s="85"/>
      <c r="GV107" s="141"/>
      <c r="GY107" s="183" t="str">
        <f t="shared" si="378"/>
        <v/>
      </c>
      <c r="GZ107" s="122">
        <f t="shared" si="419"/>
        <v>28</v>
      </c>
      <c r="HB107" s="36" t="str">
        <f t="shared" si="396"/>
        <v/>
      </c>
      <c r="HC107" s="177"/>
      <c r="HD107" s="122"/>
      <c r="HF107" s="153"/>
    </row>
    <row r="108" spans="1:214" ht="12.75" hidden="1" customHeight="1" x14ac:dyDescent="0.25">
      <c r="D108" s="37"/>
      <c r="F108" s="36">
        <f>IF(E23=$BQ$2,1,(IF(E23="",1,(IF(F24="",0,1)))))</f>
        <v>1</v>
      </c>
      <c r="I108" s="36">
        <f>IF(H23=$BQ$2,1,(IF(H23="",1,(IF(I24="",0,1)))))</f>
        <v>1</v>
      </c>
      <c r="L108" s="36">
        <f>IF(K23=$BQ$2,1,(IF(K23="",1,(IF(L24="",0,1)))))</f>
        <v>1</v>
      </c>
      <c r="O108" s="36">
        <f>IF(N23=$BQ$2,1,(IF(N23="",1,(IF(O24="",0,1)))))</f>
        <v>1</v>
      </c>
      <c r="R108" s="36">
        <f>IF(Q23=$BQ$2,1,(IF(Q23="",1,(IF(R24="",0,1)))))</f>
        <v>1</v>
      </c>
      <c r="U108" s="36">
        <f>IF(T23=$BQ$2,1,(IF(T23="",1,(IF(U24="",0,1)))))</f>
        <v>1</v>
      </c>
      <c r="X108" s="36">
        <f>IF(W23=$BQ$2,1,(IF(W23="",1,(IF(X24="",0,1)))))</f>
        <v>1</v>
      </c>
      <c r="AF108" s="36">
        <f t="shared" si="414"/>
        <v>20</v>
      </c>
      <c r="AG108" s="36"/>
      <c r="AH108" s="36" t="str">
        <f t="shared" si="421"/>
        <v/>
      </c>
      <c r="AI108" s="36">
        <f t="shared" si="421"/>
        <v>0</v>
      </c>
      <c r="AJ108" s="36" t="str">
        <f t="shared" si="421"/>
        <v/>
      </c>
      <c r="AM108" s="36" t="str">
        <f t="shared" si="422"/>
        <v/>
      </c>
      <c r="AN108" s="36">
        <f t="shared" si="422"/>
        <v>0</v>
      </c>
      <c r="AO108" s="36" t="str">
        <f t="shared" si="422"/>
        <v/>
      </c>
      <c r="AR108" s="36" t="str">
        <f t="shared" si="423"/>
        <v/>
      </c>
      <c r="AS108" s="36">
        <f t="shared" si="423"/>
        <v>0</v>
      </c>
      <c r="AT108" s="36" t="str">
        <f t="shared" si="423"/>
        <v/>
      </c>
      <c r="AW108" s="36" t="str">
        <f t="shared" si="424"/>
        <v/>
      </c>
      <c r="AX108" s="36">
        <f t="shared" si="424"/>
        <v>0</v>
      </c>
      <c r="AY108" s="36" t="str">
        <f t="shared" si="424"/>
        <v/>
      </c>
      <c r="BB108" s="36" t="str">
        <f t="shared" si="425"/>
        <v/>
      </c>
      <c r="BC108" s="36">
        <f t="shared" si="425"/>
        <v>0</v>
      </c>
      <c r="BD108" s="36" t="str">
        <f t="shared" si="425"/>
        <v/>
      </c>
      <c r="BU108" s="36">
        <f>BU107+1</f>
        <v>28</v>
      </c>
      <c r="BV108" s="36">
        <f t="shared" si="420"/>
        <v>12</v>
      </c>
      <c r="BX108" s="63" t="str">
        <f>D62</f>
        <v/>
      </c>
      <c r="BY108" s="138">
        <f>IF(E62=$BQ$2,0,(IF(E62="",0,E62)))</f>
        <v>0</v>
      </c>
      <c r="BZ108" s="36">
        <f>F62</f>
        <v>0</v>
      </c>
      <c r="CA108" s="149">
        <f>F63</f>
        <v>0</v>
      </c>
      <c r="CB108" s="138">
        <f>IF(H62=$BQ$2,0,(IF(H62="",0,H62)))</f>
        <v>0</v>
      </c>
      <c r="CC108" s="36">
        <f>I62</f>
        <v>0</v>
      </c>
      <c r="CD108" s="149">
        <f>I63</f>
        <v>0</v>
      </c>
      <c r="CE108" s="138">
        <f>IF(K62=$BQ$2,0,(IF(K62="",0,K62)))</f>
        <v>0</v>
      </c>
      <c r="CF108" s="36">
        <f>L62</f>
        <v>0</v>
      </c>
      <c r="CG108" s="149">
        <f>L63</f>
        <v>0</v>
      </c>
      <c r="CH108" s="138">
        <f>IF(N62=$BQ$2,0,(IF(N62="",0,N62)))</f>
        <v>0</v>
      </c>
      <c r="CI108" s="36">
        <f>O62</f>
        <v>0</v>
      </c>
      <c r="CJ108" s="149">
        <f>O63</f>
        <v>0</v>
      </c>
      <c r="CK108" s="138">
        <f>IF(Q62=$BQ$2,0,(IF(Q62="",0,Q62)))</f>
        <v>0</v>
      </c>
      <c r="CL108" s="36">
        <f>R62</f>
        <v>0</v>
      </c>
      <c r="CM108" s="149">
        <f>R63</f>
        <v>0</v>
      </c>
      <c r="CN108" s="138">
        <f>IF(T62=$BQ$2,0,(IF(T62="",0,T62)))</f>
        <v>0</v>
      </c>
      <c r="CO108" s="36">
        <f>U62</f>
        <v>0</v>
      </c>
      <c r="CP108" s="149">
        <f>U63</f>
        <v>0</v>
      </c>
      <c r="CQ108" s="138">
        <f>IF(W62=$BQ$2,0,(IF(W62="",0,W62)))</f>
        <v>0</v>
      </c>
      <c r="CR108" s="36">
        <f>X62</f>
        <v>0</v>
      </c>
      <c r="CS108" s="149">
        <f>X63</f>
        <v>0</v>
      </c>
      <c r="CT108" s="138"/>
      <c r="CV108" s="149"/>
      <c r="DH108" s="36">
        <f t="shared" si="379"/>
        <v>99</v>
      </c>
      <c r="DI108" s="36">
        <f t="shared" si="380"/>
        <v>28</v>
      </c>
      <c r="DJ108" s="63" t="str">
        <f t="shared" si="375"/>
        <v/>
      </c>
      <c r="DK108" s="36">
        <f t="shared" si="381"/>
        <v>12</v>
      </c>
      <c r="DL108" s="138">
        <f t="shared" si="382"/>
        <v>0</v>
      </c>
      <c r="DM108" s="149">
        <f t="shared" si="383"/>
        <v>0</v>
      </c>
      <c r="DN108" s="138" t="str">
        <f>IF(AD62="","",1)</f>
        <v/>
      </c>
      <c r="DP108" s="36" t="str">
        <f t="shared" si="384"/>
        <v/>
      </c>
      <c r="DQ108" s="36">
        <f t="shared" si="385"/>
        <v>999</v>
      </c>
      <c r="DR108" s="36" t="str">
        <f>AC62</f>
        <v/>
      </c>
      <c r="DS108" s="36">
        <f t="shared" si="386"/>
        <v>0</v>
      </c>
      <c r="DT108" s="36">
        <f t="shared" si="387"/>
        <v>0</v>
      </c>
      <c r="DU108" s="36">
        <f t="shared" si="388"/>
        <v>0</v>
      </c>
      <c r="DV108" s="36">
        <f t="shared" si="389"/>
        <v>7</v>
      </c>
      <c r="DW108" s="36">
        <f>IF(DQ108=$BK$2,0,(IF(BP62&gt;1,1,0)))</f>
        <v>0</v>
      </c>
      <c r="DX108" s="296">
        <f t="shared" si="415"/>
        <v>10000000000.000999</v>
      </c>
      <c r="DY108" s="296"/>
      <c r="DZ108" s="296"/>
      <c r="EA108" s="53">
        <f t="shared" si="391"/>
        <v>15</v>
      </c>
      <c r="EB108" s="53"/>
      <c r="EC108" s="296">
        <f t="shared" si="417"/>
        <v>10000000000.000999</v>
      </c>
      <c r="ED108" s="296"/>
      <c r="EE108" s="296"/>
      <c r="EG108" s="36">
        <f t="shared" si="418"/>
        <v>15</v>
      </c>
      <c r="EJ108" s="36">
        <f t="shared" si="394"/>
        <v>0</v>
      </c>
      <c r="EM108" s="36" t="str">
        <f>AC62</f>
        <v/>
      </c>
      <c r="EN108" s="36">
        <f t="shared" si="376"/>
        <v>999</v>
      </c>
      <c r="GB108" s="36">
        <v>1</v>
      </c>
      <c r="GC108" s="138">
        <f>FS81</f>
        <v>1</v>
      </c>
      <c r="GD108" s="36">
        <f>FS82</f>
        <v>2</v>
      </c>
      <c r="GJ108" s="149"/>
      <c r="GN108" s="36">
        <v>1</v>
      </c>
      <c r="GO108" s="138">
        <f>FS97</f>
        <v>4</v>
      </c>
      <c r="GP108" s="36">
        <f>FS98</f>
        <v>5</v>
      </c>
      <c r="GV108" s="149"/>
      <c r="GY108" s="183" t="str">
        <f t="shared" si="378"/>
        <v/>
      </c>
      <c r="GZ108" s="122">
        <f t="shared" si="419"/>
        <v>29</v>
      </c>
      <c r="HB108" s="36" t="str">
        <f t="shared" si="396"/>
        <v/>
      </c>
      <c r="HC108" s="177" t="str">
        <f>GY94</f>
        <v/>
      </c>
      <c r="HD108" s="122">
        <f>HD106+1</f>
        <v>15</v>
      </c>
      <c r="HF108" s="153" t="str">
        <f>HB94</f>
        <v/>
      </c>
    </row>
    <row r="109" spans="1:214" ht="12.75" hidden="1" customHeight="1" x14ac:dyDescent="0.25">
      <c r="D109" s="37">
        <v>10</v>
      </c>
      <c r="F109" s="36">
        <f>IF(E25=$BQ$2,1,(IF(E25="",1,(IF(F25="",0,1)))))</f>
        <v>1</v>
      </c>
      <c r="I109" s="36">
        <f>IF(H25=$BQ$2,1,(IF(H25="",1,(IF(I25="",0,1)))))</f>
        <v>1</v>
      </c>
      <c r="L109" s="36">
        <f>IF(K25=$BQ$2,1,(IF(K25="",1,(IF(L25="",0,1)))))</f>
        <v>1</v>
      </c>
      <c r="O109" s="36">
        <f>IF(N25=$BQ$2,1,(IF(N25="",1,(IF(O25="",0,1)))))</f>
        <v>1</v>
      </c>
      <c r="R109" s="36">
        <f>IF(Q25=$BQ$2,1,(IF(Q25="",1,(IF(R25="",0,1)))))</f>
        <v>1</v>
      </c>
      <c r="U109" s="36">
        <f>IF(T25=$BQ$2,1,(IF(T25="",1,(IF(U25="",0,1)))))</f>
        <v>1</v>
      </c>
      <c r="X109" s="36">
        <f>IF(W25=$BQ$2,1,(IF(W25="",1,(IF(X25="",0,1)))))</f>
        <v>1</v>
      </c>
      <c r="AF109" s="36">
        <f t="shared" si="414"/>
        <v>21</v>
      </c>
      <c r="AG109" s="36"/>
      <c r="AH109" s="36" t="str">
        <f t="shared" si="421"/>
        <v/>
      </c>
      <c r="AI109" s="36">
        <f t="shared" si="421"/>
        <v>0</v>
      </c>
      <c r="AJ109" s="36" t="str">
        <f t="shared" si="421"/>
        <v/>
      </c>
      <c r="AM109" s="36" t="str">
        <f t="shared" si="422"/>
        <v/>
      </c>
      <c r="AN109" s="36">
        <f t="shared" si="422"/>
        <v>0</v>
      </c>
      <c r="AO109" s="36" t="str">
        <f t="shared" si="422"/>
        <v/>
      </c>
      <c r="AR109" s="36" t="str">
        <f t="shared" si="423"/>
        <v/>
      </c>
      <c r="AS109" s="36">
        <f t="shared" si="423"/>
        <v>0</v>
      </c>
      <c r="AT109" s="36" t="str">
        <f t="shared" si="423"/>
        <v/>
      </c>
      <c r="AW109" s="36" t="str">
        <f t="shared" si="424"/>
        <v/>
      </c>
      <c r="AX109" s="36">
        <f t="shared" si="424"/>
        <v>0</v>
      </c>
      <c r="AY109" s="36" t="str">
        <f t="shared" si="424"/>
        <v/>
      </c>
      <c r="BB109" s="36" t="str">
        <f t="shared" si="425"/>
        <v/>
      </c>
      <c r="BC109" s="36">
        <f t="shared" si="425"/>
        <v>0</v>
      </c>
      <c r="BD109" s="36" t="str">
        <f t="shared" si="425"/>
        <v/>
      </c>
      <c r="BU109" s="36">
        <f>BU108+1</f>
        <v>29</v>
      </c>
      <c r="BV109" s="36">
        <f t="shared" si="420"/>
        <v>13</v>
      </c>
      <c r="BX109" s="63" t="str">
        <f>D64</f>
        <v/>
      </c>
      <c r="BY109" s="138">
        <f>IF(E64=$BQ$2,0,(IF(E64="",0,E64)))</f>
        <v>0</v>
      </c>
      <c r="BZ109" s="36">
        <f>F64</f>
        <v>0</v>
      </c>
      <c r="CA109" s="149">
        <f>F65</f>
        <v>0</v>
      </c>
      <c r="CB109" s="138">
        <f>IF(H64=$BQ$2,0,(IF(H64="",0,H64)))</f>
        <v>0</v>
      </c>
      <c r="CC109" s="36">
        <f>I64</f>
        <v>0</v>
      </c>
      <c r="CD109" s="149">
        <f>I65</f>
        <v>0</v>
      </c>
      <c r="CE109" s="138">
        <f>IF(K64=$BQ$2,0,(IF(K64="",0,K64)))</f>
        <v>0</v>
      </c>
      <c r="CF109" s="36">
        <f>L64</f>
        <v>0</v>
      </c>
      <c r="CG109" s="149">
        <f>L65</f>
        <v>0</v>
      </c>
      <c r="CH109" s="138">
        <f>IF(N64=$BQ$2,0,(IF(N64="",0,N64)))</f>
        <v>0</v>
      </c>
      <c r="CI109" s="36">
        <f>O64</f>
        <v>0</v>
      </c>
      <c r="CJ109" s="149">
        <f>O65</f>
        <v>0</v>
      </c>
      <c r="CK109" s="138">
        <f>IF(Q64=$BQ$2,0,(IF(Q64="",0,Q64)))</f>
        <v>0</v>
      </c>
      <c r="CL109" s="36">
        <f>R64</f>
        <v>0</v>
      </c>
      <c r="CM109" s="149">
        <f>R65</f>
        <v>0</v>
      </c>
      <c r="CN109" s="138">
        <f>IF(T64=$BQ$2,0,(IF(T64="",0,T64)))</f>
        <v>0</v>
      </c>
      <c r="CO109" s="36">
        <f>U64</f>
        <v>0</v>
      </c>
      <c r="CP109" s="149">
        <f>U65</f>
        <v>0</v>
      </c>
      <c r="CQ109" s="138">
        <f>IF(W64=$BQ$2,0,(IF(W64="",0,W64)))</f>
        <v>0</v>
      </c>
      <c r="CR109" s="36">
        <f>X64</f>
        <v>0</v>
      </c>
      <c r="CS109" s="149">
        <f>X65</f>
        <v>0</v>
      </c>
      <c r="CT109" s="138"/>
      <c r="CV109" s="149"/>
      <c r="DH109" s="36">
        <f t="shared" si="379"/>
        <v>99</v>
      </c>
      <c r="DI109" s="36">
        <f t="shared" si="380"/>
        <v>29</v>
      </c>
      <c r="DJ109" s="63" t="str">
        <f t="shared" si="375"/>
        <v/>
      </c>
      <c r="DK109" s="36">
        <f t="shared" si="381"/>
        <v>13</v>
      </c>
      <c r="DL109" s="138">
        <f t="shared" si="382"/>
        <v>0</v>
      </c>
      <c r="DM109" s="149">
        <f t="shared" si="383"/>
        <v>0</v>
      </c>
      <c r="DN109" s="138" t="str">
        <f>IF(AD64="","",1)</f>
        <v/>
      </c>
      <c r="DP109" s="36" t="str">
        <f t="shared" si="384"/>
        <v/>
      </c>
      <c r="DQ109" s="36">
        <f t="shared" si="385"/>
        <v>999</v>
      </c>
      <c r="DR109" s="36" t="str">
        <f>AC64</f>
        <v/>
      </c>
      <c r="DS109" s="36">
        <f t="shared" si="386"/>
        <v>0</v>
      </c>
      <c r="DT109" s="36">
        <f t="shared" si="387"/>
        <v>0</v>
      </c>
      <c r="DU109" s="36">
        <f t="shared" si="388"/>
        <v>0</v>
      </c>
      <c r="DV109" s="36">
        <f t="shared" si="389"/>
        <v>7</v>
      </c>
      <c r="DW109" s="36">
        <f>IF(DQ109=$BK$2,0,(IF(BP64&gt;1,1,0)))</f>
        <v>0</v>
      </c>
      <c r="DX109" s="296">
        <f t="shared" si="415"/>
        <v>10000000000.000999</v>
      </c>
      <c r="DY109" s="296"/>
      <c r="DZ109" s="296"/>
      <c r="EA109" s="53">
        <f t="shared" si="391"/>
        <v>15</v>
      </c>
      <c r="EB109" s="53"/>
      <c r="EC109" s="296">
        <f t="shared" si="417"/>
        <v>10000000000.000999</v>
      </c>
      <c r="ED109" s="296"/>
      <c r="EE109" s="296"/>
      <c r="EG109" s="36">
        <f t="shared" si="418"/>
        <v>15</v>
      </c>
      <c r="EJ109" s="36">
        <f t="shared" si="394"/>
        <v>0</v>
      </c>
      <c r="EM109" s="36" t="str">
        <f>AC64</f>
        <v/>
      </c>
      <c r="EN109" s="36">
        <f t="shared" si="376"/>
        <v>999</v>
      </c>
      <c r="GB109" s="36">
        <v>2</v>
      </c>
      <c r="GC109" s="138"/>
      <c r="GF109" s="36">
        <f>FS83</f>
        <v>3</v>
      </c>
      <c r="GG109" s="36">
        <f>FS81</f>
        <v>1</v>
      </c>
      <c r="GJ109" s="149"/>
      <c r="GN109" s="36">
        <v>2</v>
      </c>
      <c r="GO109" s="138"/>
      <c r="GR109" s="36">
        <f>FS99</f>
        <v>6</v>
      </c>
      <c r="GS109" s="36">
        <f>FS97</f>
        <v>4</v>
      </c>
      <c r="GV109" s="149"/>
      <c r="GY109" s="183" t="str">
        <f t="shared" si="378"/>
        <v/>
      </c>
      <c r="GZ109" s="122">
        <f t="shared" si="419"/>
        <v>30</v>
      </c>
      <c r="HB109" s="36" t="str">
        <f t="shared" si="396"/>
        <v/>
      </c>
      <c r="HC109" s="177"/>
      <c r="HD109" s="122"/>
      <c r="HF109" s="153"/>
    </row>
    <row r="110" spans="1:214" ht="12.75" hidden="1" customHeight="1" x14ac:dyDescent="0.25">
      <c r="D110" s="37"/>
      <c r="F110" s="36">
        <f>IF(E25=$BQ$2,1,(IF(E25="",1,(IF(F26="",0,1)))))</f>
        <v>1</v>
      </c>
      <c r="I110" s="36">
        <f>IF(H25=$BQ$2,1,(IF(H25="",1,(IF(I26="",0,1)))))</f>
        <v>1</v>
      </c>
      <c r="L110" s="36">
        <f>IF(K25=$BQ$2,1,(IF(K25="",1,(IF(L26="",0,1)))))</f>
        <v>1</v>
      </c>
      <c r="O110" s="36">
        <f>IF(N25=$BQ$2,1,(IF(N25="",1,(IF(O26="",0,1)))))</f>
        <v>1</v>
      </c>
      <c r="R110" s="36">
        <f>IF(Q25=$BQ$2,1,(IF(Q25="",1,(IF(R26="",0,1)))))</f>
        <v>1</v>
      </c>
      <c r="U110" s="36">
        <f>IF(T25=$BQ$2,1,(IF(T25="",1,(IF(U26="",0,1)))))</f>
        <v>1</v>
      </c>
      <c r="X110" s="36">
        <f>IF(W25=$BQ$2,1,(IF(W25="",1,(IF(X26="",0,1)))))</f>
        <v>1</v>
      </c>
      <c r="AF110" s="36">
        <f t="shared" si="414"/>
        <v>22</v>
      </c>
      <c r="AG110" s="36"/>
      <c r="AH110" s="36" t="str">
        <f t="shared" si="421"/>
        <v/>
      </c>
      <c r="AI110" s="36">
        <f t="shared" si="421"/>
        <v>0</v>
      </c>
      <c r="AJ110" s="36" t="str">
        <f t="shared" si="421"/>
        <v/>
      </c>
      <c r="AM110" s="36" t="str">
        <f t="shared" si="422"/>
        <v/>
      </c>
      <c r="AN110" s="36">
        <f t="shared" si="422"/>
        <v>0</v>
      </c>
      <c r="AO110" s="36" t="str">
        <f t="shared" si="422"/>
        <v/>
      </c>
      <c r="AR110" s="36" t="str">
        <f t="shared" si="423"/>
        <v/>
      </c>
      <c r="AS110" s="36">
        <f t="shared" si="423"/>
        <v>0</v>
      </c>
      <c r="AT110" s="36" t="str">
        <f t="shared" si="423"/>
        <v/>
      </c>
      <c r="AW110" s="36" t="str">
        <f t="shared" si="424"/>
        <v/>
      </c>
      <c r="AX110" s="36">
        <f t="shared" si="424"/>
        <v>0</v>
      </c>
      <c r="AY110" s="36" t="str">
        <f t="shared" si="424"/>
        <v/>
      </c>
      <c r="BB110" s="36" t="str">
        <f t="shared" si="425"/>
        <v/>
      </c>
      <c r="BC110" s="36">
        <f t="shared" si="425"/>
        <v>0</v>
      </c>
      <c r="BD110" s="36" t="str">
        <f t="shared" si="425"/>
        <v/>
      </c>
      <c r="BU110" s="36">
        <f>BU109+1</f>
        <v>30</v>
      </c>
      <c r="BV110" s="36">
        <f t="shared" si="420"/>
        <v>14</v>
      </c>
      <c r="BX110" s="63" t="str">
        <f>D66</f>
        <v/>
      </c>
      <c r="BY110" s="138">
        <f>IF(E66=$BQ$2,0,(IF(E66="",0,E66)))</f>
        <v>0</v>
      </c>
      <c r="BZ110" s="36">
        <f>F66</f>
        <v>0</v>
      </c>
      <c r="CA110" s="149">
        <f>F67</f>
        <v>0</v>
      </c>
      <c r="CB110" s="138">
        <f>IF(H66=$BQ$2,0,(IF(H66="",0,H66)))</f>
        <v>0</v>
      </c>
      <c r="CC110" s="36">
        <f>I66</f>
        <v>0</v>
      </c>
      <c r="CD110" s="149">
        <f>I67</f>
        <v>0</v>
      </c>
      <c r="CE110" s="138">
        <f>IF(K66=$BQ$2,0,(IF(K66="",0,K66)))</f>
        <v>0</v>
      </c>
      <c r="CF110" s="36">
        <f>L66</f>
        <v>0</v>
      </c>
      <c r="CG110" s="149">
        <f>L67</f>
        <v>0</v>
      </c>
      <c r="CH110" s="138">
        <f>IF(N66=$BQ$2,0,(IF(N66="",0,N66)))</f>
        <v>0</v>
      </c>
      <c r="CI110" s="36">
        <f>O66</f>
        <v>0</v>
      </c>
      <c r="CJ110" s="149">
        <f>O67</f>
        <v>0</v>
      </c>
      <c r="CK110" s="138">
        <f>IF(Q66=$BQ$2,0,(IF(Q66="",0,Q66)))</f>
        <v>0</v>
      </c>
      <c r="CL110" s="36">
        <f>R66</f>
        <v>0</v>
      </c>
      <c r="CM110" s="149">
        <f>R67</f>
        <v>0</v>
      </c>
      <c r="CN110" s="138">
        <f>IF(T66=$BQ$2,0,(IF(T66="",0,T66)))</f>
        <v>0</v>
      </c>
      <c r="CO110" s="36">
        <f>U66</f>
        <v>0</v>
      </c>
      <c r="CP110" s="149">
        <f>U67</f>
        <v>0</v>
      </c>
      <c r="CQ110" s="138">
        <f>IF(W66=$BQ$2,0,(IF(W66="",0,W66)))</f>
        <v>0</v>
      </c>
      <c r="CR110" s="36">
        <f>X66</f>
        <v>0</v>
      </c>
      <c r="CS110" s="149">
        <f>X67</f>
        <v>0</v>
      </c>
      <c r="CT110" s="138"/>
      <c r="CV110" s="149"/>
      <c r="DH110" s="36">
        <f t="shared" si="379"/>
        <v>99</v>
      </c>
      <c r="DI110" s="36">
        <f t="shared" si="380"/>
        <v>30</v>
      </c>
      <c r="DJ110" s="63" t="str">
        <f t="shared" si="375"/>
        <v/>
      </c>
      <c r="DK110" s="36">
        <f t="shared" si="381"/>
        <v>14</v>
      </c>
      <c r="DL110" s="138">
        <f t="shared" si="382"/>
        <v>0</v>
      </c>
      <c r="DM110" s="149">
        <f t="shared" si="383"/>
        <v>0</v>
      </c>
      <c r="DN110" s="138" t="str">
        <f>IF(AD66="","",1)</f>
        <v/>
      </c>
      <c r="DP110" s="36" t="str">
        <f t="shared" si="384"/>
        <v/>
      </c>
      <c r="DQ110" s="36">
        <f t="shared" si="385"/>
        <v>999</v>
      </c>
      <c r="DR110" s="36" t="str">
        <f>AC66</f>
        <v/>
      </c>
      <c r="DS110" s="36">
        <f t="shared" si="386"/>
        <v>0</v>
      </c>
      <c r="DT110" s="36">
        <f t="shared" si="387"/>
        <v>0</v>
      </c>
      <c r="DU110" s="36">
        <f t="shared" si="388"/>
        <v>0</v>
      </c>
      <c r="DV110" s="36">
        <f t="shared" si="389"/>
        <v>7</v>
      </c>
      <c r="DW110" s="36">
        <f>IF(DQ110=$BK$2,0,(IF(BP66&gt;1,1,0)))</f>
        <v>0</v>
      </c>
      <c r="DX110" s="296">
        <f t="shared" si="415"/>
        <v>10000000000.000999</v>
      </c>
      <c r="DY110" s="296"/>
      <c r="DZ110" s="296"/>
      <c r="EA110" s="53">
        <f t="shared" si="391"/>
        <v>15</v>
      </c>
      <c r="EB110" s="53"/>
      <c r="EC110" s="296">
        <f t="shared" si="417"/>
        <v>10000000000.000999</v>
      </c>
      <c r="ED110" s="296"/>
      <c r="EE110" s="296"/>
      <c r="EG110" s="36">
        <f t="shared" si="418"/>
        <v>15</v>
      </c>
      <c r="EJ110" s="36">
        <f t="shared" si="394"/>
        <v>0</v>
      </c>
      <c r="EM110" s="36" t="str">
        <f>AC66</f>
        <v/>
      </c>
      <c r="EN110" s="36">
        <f t="shared" si="376"/>
        <v>999</v>
      </c>
      <c r="GB110" s="36">
        <v>3</v>
      </c>
      <c r="GC110" s="138">
        <f>GC108</f>
        <v>1</v>
      </c>
      <c r="GD110" s="36">
        <f>GD108</f>
        <v>2</v>
      </c>
      <c r="GF110" s="36">
        <f>GF109</f>
        <v>3</v>
      </c>
      <c r="GG110" s="36">
        <f>GG109</f>
        <v>1</v>
      </c>
      <c r="GJ110" s="149"/>
      <c r="GN110" s="36">
        <v>3</v>
      </c>
      <c r="GO110" s="138">
        <f>GO108</f>
        <v>4</v>
      </c>
      <c r="GP110" s="36">
        <f>GP108</f>
        <v>5</v>
      </c>
      <c r="GR110" s="36">
        <f>GR109</f>
        <v>6</v>
      </c>
      <c r="GS110" s="36">
        <f>GS109</f>
        <v>4</v>
      </c>
      <c r="GV110" s="149"/>
      <c r="GY110" s="183" t="str">
        <f t="shared" si="378"/>
        <v/>
      </c>
      <c r="GZ110" s="122">
        <f t="shared" si="419"/>
        <v>31</v>
      </c>
      <c r="HB110" s="36" t="str">
        <f t="shared" si="396"/>
        <v/>
      </c>
      <c r="HC110" s="177" t="str">
        <f>GY95</f>
        <v/>
      </c>
      <c r="HD110" s="122">
        <f>HD108+1</f>
        <v>16</v>
      </c>
      <c r="HF110" s="153" t="str">
        <f>HB95</f>
        <v/>
      </c>
    </row>
    <row r="111" spans="1:214" ht="12.75" hidden="1" customHeight="1" x14ac:dyDescent="0.25">
      <c r="D111" s="37">
        <v>11</v>
      </c>
      <c r="F111" s="36">
        <f>IF(E27=$BQ$2,1,(IF(E27="",1,(IF(F27="",0,1)))))</f>
        <v>1</v>
      </c>
      <c r="I111" s="36">
        <f>IF(H27=$BQ$2,1,(IF(H27="",1,(IF(I27="",0,1)))))</f>
        <v>1</v>
      </c>
      <c r="L111" s="36">
        <f>IF(K27=$BQ$2,1,(IF(K27="",1,(IF(L27="",0,1)))))</f>
        <v>1</v>
      </c>
      <c r="O111" s="36">
        <f>IF(N27=$BQ$2,1,(IF(N27="",1,(IF(O27="",0,1)))))</f>
        <v>1</v>
      </c>
      <c r="R111" s="36">
        <f>IF(Q27=$BQ$2,1,(IF(Q27="",1,(IF(R27="",0,1)))))</f>
        <v>1</v>
      </c>
      <c r="U111" s="36">
        <f>IF(T27=$BQ$2,1,(IF(T27="",1,(IF(U27="",0,1)))))</f>
        <v>1</v>
      </c>
      <c r="X111" s="36">
        <f>IF(W27=$BQ$2,1,(IF(W27="",1,(IF(X27="",0,1)))))</f>
        <v>1</v>
      </c>
      <c r="AF111" s="36">
        <f t="shared" si="414"/>
        <v>23</v>
      </c>
      <c r="AG111" s="36"/>
      <c r="AH111" s="36" t="str">
        <f t="shared" si="421"/>
        <v/>
      </c>
      <c r="AI111" s="36">
        <f t="shared" si="421"/>
        <v>0</v>
      </c>
      <c r="AJ111" s="36" t="str">
        <f t="shared" si="421"/>
        <v/>
      </c>
      <c r="AM111" s="36" t="str">
        <f t="shared" si="422"/>
        <v/>
      </c>
      <c r="AN111" s="36">
        <f t="shared" si="422"/>
        <v>0</v>
      </c>
      <c r="AO111" s="36" t="str">
        <f t="shared" si="422"/>
        <v/>
      </c>
      <c r="AR111" s="36" t="str">
        <f t="shared" si="423"/>
        <v/>
      </c>
      <c r="AS111" s="36">
        <f t="shared" si="423"/>
        <v>0</v>
      </c>
      <c r="AT111" s="36" t="str">
        <f t="shared" si="423"/>
        <v/>
      </c>
      <c r="AW111" s="36" t="str">
        <f t="shared" si="424"/>
        <v/>
      </c>
      <c r="AX111" s="36">
        <f t="shared" si="424"/>
        <v>0</v>
      </c>
      <c r="AY111" s="36" t="str">
        <f t="shared" si="424"/>
        <v/>
      </c>
      <c r="BB111" s="36" t="str">
        <f t="shared" si="425"/>
        <v/>
      </c>
      <c r="BC111" s="36">
        <f t="shared" si="425"/>
        <v>0</v>
      </c>
      <c r="BD111" s="36" t="str">
        <f t="shared" si="425"/>
        <v/>
      </c>
      <c r="BU111" s="36">
        <f>BU110+1</f>
        <v>31</v>
      </c>
      <c r="BV111" s="36">
        <f t="shared" si="420"/>
        <v>15</v>
      </c>
      <c r="BX111" s="63" t="str">
        <f>D68</f>
        <v/>
      </c>
      <c r="BY111" s="138">
        <f>IF(E68=$BQ$2,0,(IF(E68="",0,E68)))</f>
        <v>0</v>
      </c>
      <c r="BZ111" s="36">
        <f>F68</f>
        <v>0</v>
      </c>
      <c r="CA111" s="149">
        <f>F69</f>
        <v>0</v>
      </c>
      <c r="CB111" s="138">
        <f>IF(H68=$BQ$2,0,(IF(H68="",0,H68)))</f>
        <v>0</v>
      </c>
      <c r="CC111" s="36">
        <f>I68</f>
        <v>0</v>
      </c>
      <c r="CD111" s="149">
        <f>I69</f>
        <v>0</v>
      </c>
      <c r="CE111" s="138">
        <f>IF(K68=$BQ$2,0,(IF(K68="",0,K68)))</f>
        <v>0</v>
      </c>
      <c r="CF111" s="36">
        <f>L68</f>
        <v>0</v>
      </c>
      <c r="CG111" s="149">
        <f>L69</f>
        <v>0</v>
      </c>
      <c r="CH111" s="138">
        <f>IF(N68=$BQ$2,0,(IF(N68="",0,N68)))</f>
        <v>0</v>
      </c>
      <c r="CI111" s="36">
        <f>O68</f>
        <v>0</v>
      </c>
      <c r="CJ111" s="149">
        <f>O69</f>
        <v>0</v>
      </c>
      <c r="CK111" s="138">
        <f>IF(Q68=$BQ$2,0,(IF(Q68="",0,Q68)))</f>
        <v>0</v>
      </c>
      <c r="CL111" s="36">
        <f>R68</f>
        <v>0</v>
      </c>
      <c r="CM111" s="149">
        <f>R69</f>
        <v>0</v>
      </c>
      <c r="CN111" s="138">
        <f>IF(T68=$BQ$2,0,(IF(T68="",0,T68)))</f>
        <v>0</v>
      </c>
      <c r="CO111" s="36">
        <f>U68</f>
        <v>0</v>
      </c>
      <c r="CP111" s="149">
        <f>U69</f>
        <v>0</v>
      </c>
      <c r="CQ111" s="138">
        <f>IF(W68=$BQ$2,0,(IF(W68="",0,W68)))</f>
        <v>0</v>
      </c>
      <c r="CR111" s="36">
        <f>X68</f>
        <v>0</v>
      </c>
      <c r="CS111" s="149">
        <f>X69</f>
        <v>0</v>
      </c>
      <c r="CT111" s="138"/>
      <c r="CV111" s="149"/>
      <c r="DH111" s="36">
        <f t="shared" si="379"/>
        <v>99</v>
      </c>
      <c r="DI111" s="36">
        <f t="shared" si="380"/>
        <v>31</v>
      </c>
      <c r="DJ111" s="63" t="str">
        <f t="shared" si="375"/>
        <v/>
      </c>
      <c r="DK111" s="36">
        <f t="shared" si="381"/>
        <v>15</v>
      </c>
      <c r="DL111" s="138">
        <f t="shared" si="382"/>
        <v>0</v>
      </c>
      <c r="DM111" s="149">
        <f t="shared" si="383"/>
        <v>0</v>
      </c>
      <c r="DN111" s="138" t="str">
        <f>IF(AD68="","",1)</f>
        <v/>
      </c>
      <c r="DP111" s="36" t="str">
        <f t="shared" si="384"/>
        <v/>
      </c>
      <c r="DQ111" s="36">
        <f t="shared" si="385"/>
        <v>999</v>
      </c>
      <c r="DR111" s="36" t="str">
        <f>AC68</f>
        <v/>
      </c>
      <c r="DS111" s="36">
        <f t="shared" si="386"/>
        <v>0</v>
      </c>
      <c r="DT111" s="36">
        <f t="shared" si="387"/>
        <v>0</v>
      </c>
      <c r="DU111" s="36">
        <f t="shared" si="388"/>
        <v>0</v>
      </c>
      <c r="DV111" s="36">
        <f t="shared" si="389"/>
        <v>7</v>
      </c>
      <c r="DW111" s="36">
        <f>IF(DQ111=$BK$2,0,(IF(BP68&gt;1,1,0)))</f>
        <v>0</v>
      </c>
      <c r="DX111" s="296">
        <f t="shared" si="415"/>
        <v>10000000000.000999</v>
      </c>
      <c r="DY111" s="296"/>
      <c r="DZ111" s="296"/>
      <c r="EA111" s="53">
        <f t="shared" si="391"/>
        <v>15</v>
      </c>
      <c r="EB111" s="53"/>
      <c r="EC111" s="296">
        <f t="shared" si="417"/>
        <v>10000000000.000999</v>
      </c>
      <c r="ED111" s="296"/>
      <c r="EE111" s="296"/>
      <c r="EG111" s="36">
        <f t="shared" si="418"/>
        <v>15</v>
      </c>
      <c r="EJ111" s="36">
        <f t="shared" si="394"/>
        <v>0</v>
      </c>
      <c r="EM111" s="36" t="str">
        <f>AC68</f>
        <v/>
      </c>
      <c r="EN111" s="36">
        <f t="shared" si="376"/>
        <v>999</v>
      </c>
      <c r="ES111" s="134" t="str">
        <f>G3</f>
        <v>Počet zápasníků</v>
      </c>
      <c r="EU111" s="36">
        <f>Z3-DN113</f>
        <v>6</v>
      </c>
      <c r="GB111" s="36">
        <v>4</v>
      </c>
      <c r="GC111" s="138"/>
      <c r="GI111" s="36">
        <f>FS82</f>
        <v>2</v>
      </c>
      <c r="GJ111" s="149">
        <f>FS83</f>
        <v>3</v>
      </c>
      <c r="GN111" s="36">
        <v>4</v>
      </c>
      <c r="GO111" s="138"/>
      <c r="GU111" s="36">
        <f>FS98</f>
        <v>5</v>
      </c>
      <c r="GV111" s="149">
        <f>FS99</f>
        <v>6</v>
      </c>
      <c r="GY111" s="183" t="str">
        <f t="shared" si="378"/>
        <v/>
      </c>
      <c r="GZ111" s="122">
        <f t="shared" si="419"/>
        <v>32</v>
      </c>
      <c r="HB111" s="36" t="str">
        <f t="shared" si="396"/>
        <v/>
      </c>
      <c r="HC111" s="92"/>
      <c r="HD111" s="123"/>
      <c r="HE111" s="83"/>
      <c r="HF111" s="181"/>
    </row>
    <row r="112" spans="1:214" ht="12.75" hidden="1" customHeight="1" x14ac:dyDescent="0.25">
      <c r="A112" s="74"/>
      <c r="D112" s="37"/>
      <c r="F112" s="36">
        <f>IF(E27=$BQ$2,1,(IF(E27="",1,(IF(F28="",0,1)))))</f>
        <v>1</v>
      </c>
      <c r="I112" s="36">
        <f>IF(H27=$BQ$2,1,(IF(H27="",1,(IF(I28="",0,1)))))</f>
        <v>1</v>
      </c>
      <c r="L112" s="36">
        <f>IF(K27=$BQ$2,1,(IF(K27="",1,(IF(L28="",0,1)))))</f>
        <v>1</v>
      </c>
      <c r="O112" s="36">
        <f>IF(N27=$BQ$2,1,(IF(N27="",1,(IF(O28="",0,1)))))</f>
        <v>1</v>
      </c>
      <c r="R112" s="36">
        <f>IF(Q27=$BQ$2,1,(IF(Q27="",1,(IF(R28="",0,1)))))</f>
        <v>1</v>
      </c>
      <c r="U112" s="36">
        <f>IF(T27=$BQ$2,1,(IF(T27="",1,(IF(U28="",0,1)))))</f>
        <v>1</v>
      </c>
      <c r="X112" s="36">
        <f>IF(W27=$BQ$2,1,(IF(W27="",1,(IF(X28="",0,1)))))</f>
        <v>1</v>
      </c>
      <c r="AF112" s="36">
        <f t="shared" si="414"/>
        <v>24</v>
      </c>
      <c r="AG112" s="36"/>
      <c r="AH112" s="36" t="str">
        <f t="shared" si="421"/>
        <v/>
      </c>
      <c r="AI112" s="36">
        <f t="shared" si="421"/>
        <v>0</v>
      </c>
      <c r="AJ112" s="36" t="str">
        <f t="shared" si="421"/>
        <v/>
      </c>
      <c r="AM112" s="36" t="str">
        <f t="shared" si="422"/>
        <v/>
      </c>
      <c r="AN112" s="36">
        <f t="shared" si="422"/>
        <v>0</v>
      </c>
      <c r="AO112" s="36" t="str">
        <f t="shared" si="422"/>
        <v/>
      </c>
      <c r="AR112" s="36" t="str">
        <f t="shared" si="423"/>
        <v/>
      </c>
      <c r="AS112" s="36">
        <f t="shared" si="423"/>
        <v>0</v>
      </c>
      <c r="AT112" s="36" t="str">
        <f t="shared" si="423"/>
        <v/>
      </c>
      <c r="AW112" s="36" t="str">
        <f t="shared" si="424"/>
        <v/>
      </c>
      <c r="AX112" s="36">
        <f t="shared" si="424"/>
        <v>0</v>
      </c>
      <c r="AY112" s="36" t="str">
        <f t="shared" si="424"/>
        <v/>
      </c>
      <c r="BB112" s="36" t="str">
        <f t="shared" si="425"/>
        <v/>
      </c>
      <c r="BC112" s="36">
        <f t="shared" si="425"/>
        <v>0</v>
      </c>
      <c r="BD112" s="36" t="str">
        <f t="shared" si="425"/>
        <v/>
      </c>
      <c r="BU112" s="36">
        <f>BU111+1</f>
        <v>32</v>
      </c>
      <c r="BV112" s="36">
        <f t="shared" si="420"/>
        <v>16</v>
      </c>
      <c r="BX112" s="63" t="str">
        <f>D70</f>
        <v/>
      </c>
      <c r="BY112" s="142">
        <f>IF(E70=$BQ$2,0,(IF(E70="",0,E70)))</f>
        <v>0</v>
      </c>
      <c r="BZ112" s="83">
        <f>F70</f>
        <v>0</v>
      </c>
      <c r="CA112" s="143">
        <f>F71</f>
        <v>0</v>
      </c>
      <c r="CB112" s="142">
        <f>IF(H70=$BQ$2,0,(IF(H70="",0,H70)))</f>
        <v>0</v>
      </c>
      <c r="CC112" s="83">
        <f>I70</f>
        <v>0</v>
      </c>
      <c r="CD112" s="143">
        <f>I71</f>
        <v>0</v>
      </c>
      <c r="CE112" s="142">
        <f>IF(K70=$BQ$2,0,(IF(K70="",0,K70)))</f>
        <v>0</v>
      </c>
      <c r="CF112" s="83">
        <f>L70</f>
        <v>0</v>
      </c>
      <c r="CG112" s="143">
        <f>L71</f>
        <v>0</v>
      </c>
      <c r="CH112" s="142">
        <f>IF(N70=$BQ$2,0,(IF(N70="",0,N70)))</f>
        <v>0</v>
      </c>
      <c r="CI112" s="83">
        <f>O70</f>
        <v>0</v>
      </c>
      <c r="CJ112" s="143">
        <f>O71</f>
        <v>0</v>
      </c>
      <c r="CK112" s="142">
        <f>IF(Q70=$BQ$2,0,(IF(Q70="",0,Q70)))</f>
        <v>0</v>
      </c>
      <c r="CL112" s="83">
        <f>R70</f>
        <v>0</v>
      </c>
      <c r="CM112" s="143">
        <f>R71</f>
        <v>0</v>
      </c>
      <c r="CN112" s="142">
        <f>IF(T70=$BQ$2,0,(IF(T70="",0,T70)))</f>
        <v>0</v>
      </c>
      <c r="CO112" s="83">
        <f>U70</f>
        <v>0</v>
      </c>
      <c r="CP112" s="143">
        <f>U71</f>
        <v>0</v>
      </c>
      <c r="CQ112" s="142">
        <f>IF(W70=$BQ$2,0,(IF(W70="",0,W70)))</f>
        <v>0</v>
      </c>
      <c r="CR112" s="83">
        <f>X70</f>
        <v>0</v>
      </c>
      <c r="CS112" s="143">
        <f>X71</f>
        <v>0</v>
      </c>
      <c r="CT112" s="142"/>
      <c r="CU112" s="83"/>
      <c r="CV112" s="143"/>
      <c r="DH112" s="36">
        <f t="shared" si="379"/>
        <v>99</v>
      </c>
      <c r="DI112" s="36">
        <f t="shared" si="380"/>
        <v>32</v>
      </c>
      <c r="DJ112" s="63" t="str">
        <f t="shared" si="375"/>
        <v/>
      </c>
      <c r="DK112" s="36">
        <f t="shared" si="381"/>
        <v>16</v>
      </c>
      <c r="DL112" s="142">
        <f t="shared" si="382"/>
        <v>0</v>
      </c>
      <c r="DM112" s="143">
        <f t="shared" si="383"/>
        <v>0</v>
      </c>
      <c r="DN112" s="138" t="str">
        <f>IF(AD70="","",1)</f>
        <v/>
      </c>
      <c r="DP112" s="36" t="str">
        <f t="shared" si="384"/>
        <v/>
      </c>
      <c r="DQ112" s="36">
        <f t="shared" si="385"/>
        <v>999</v>
      </c>
      <c r="DR112" s="36" t="str">
        <f>AC70</f>
        <v/>
      </c>
      <c r="DS112" s="36">
        <f t="shared" si="386"/>
        <v>0</v>
      </c>
      <c r="DT112" s="36">
        <f t="shared" si="387"/>
        <v>0</v>
      </c>
      <c r="DU112" s="36">
        <f t="shared" si="388"/>
        <v>0</v>
      </c>
      <c r="DV112" s="36">
        <f t="shared" si="389"/>
        <v>7</v>
      </c>
      <c r="DW112" s="36">
        <f>IF(DQ112=$BK$2,0,(IF(BP70&gt;1,1,0)))</f>
        <v>0</v>
      </c>
      <c r="DX112" s="296">
        <f t="shared" si="415"/>
        <v>10000000000.000999</v>
      </c>
      <c r="DY112" s="296"/>
      <c r="DZ112" s="296"/>
      <c r="EA112" s="53">
        <f t="shared" si="391"/>
        <v>15</v>
      </c>
      <c r="EB112" s="53"/>
      <c r="EC112" s="296">
        <f t="shared" si="417"/>
        <v>10000000000.000999</v>
      </c>
      <c r="ED112" s="296"/>
      <c r="EE112" s="296"/>
      <c r="EG112" s="36">
        <f t="shared" si="418"/>
        <v>15</v>
      </c>
      <c r="EJ112" s="36">
        <f t="shared" si="394"/>
        <v>0</v>
      </c>
      <c r="EM112" s="36" t="str">
        <f>AC70</f>
        <v/>
      </c>
      <c r="EN112" s="36">
        <f t="shared" si="376"/>
        <v>999</v>
      </c>
      <c r="FJ112" s="323" t="str">
        <f>[1]List1!$A$11</f>
        <v>Tabulka kvalifikace</v>
      </c>
      <c r="FK112" s="323"/>
      <c r="FL112" s="323"/>
      <c r="FM112" s="323"/>
      <c r="FN112" s="36">
        <f>IF(AC5="x",1,0)</f>
        <v>1</v>
      </c>
      <c r="GB112" s="36">
        <v>5</v>
      </c>
      <c r="GC112" s="138">
        <f>GC108</f>
        <v>1</v>
      </c>
      <c r="GD112" s="36">
        <f>GD108</f>
        <v>2</v>
      </c>
      <c r="GI112" s="36">
        <f>GI111</f>
        <v>2</v>
      </c>
      <c r="GJ112" s="149">
        <f>GJ111</f>
        <v>3</v>
      </c>
      <c r="GN112" s="36">
        <v>5</v>
      </c>
      <c r="GO112" s="138">
        <f>GO108</f>
        <v>4</v>
      </c>
      <c r="GP112" s="36">
        <f>GP108</f>
        <v>5</v>
      </c>
      <c r="GU112" s="36">
        <f t="shared" ref="GU112:GV114" si="426">GU111</f>
        <v>5</v>
      </c>
      <c r="GV112" s="149">
        <f t="shared" si="426"/>
        <v>6</v>
      </c>
      <c r="GY112" s="183"/>
      <c r="GZ112" s="122"/>
      <c r="HC112" s="212">
        <f>GY96</f>
        <v>4</v>
      </c>
      <c r="HD112" s="121">
        <f>HD110+1</f>
        <v>17</v>
      </c>
      <c r="HE112" s="85"/>
      <c r="HF112" s="182" t="str">
        <f>HB96</f>
        <v>F</v>
      </c>
    </row>
    <row r="113" spans="1:214" hidden="1" x14ac:dyDescent="0.25">
      <c r="A113" s="74"/>
      <c r="D113" s="37">
        <v>12</v>
      </c>
      <c r="F113" s="36">
        <f>IF(E29=$BQ$2,1,(IF(E29="",1,(IF(F29="",0,1)))))</f>
        <v>1</v>
      </c>
      <c r="I113" s="36">
        <f>IF(H29=$BQ$2,1,(IF(H29="",1,(IF(I29="",0,1)))))</f>
        <v>1</v>
      </c>
      <c r="L113" s="36">
        <f>IF(K29=$BQ$2,1,(IF(K29="",1,(IF(L29="",0,1)))))</f>
        <v>1</v>
      </c>
      <c r="O113" s="36">
        <f>IF(N29=$BQ$2,1,(IF(N29="",1,(IF(O29="",0,1)))))</f>
        <v>1</v>
      </c>
      <c r="R113" s="36">
        <f>IF(Q29=$BQ$2,1,(IF(Q29="",1,(IF(R29="",0,1)))))</f>
        <v>1</v>
      </c>
      <c r="U113" s="36">
        <f>IF(T29=$BQ$2,1,(IF(T29="",1,(IF(U29="",0,1)))))</f>
        <v>1</v>
      </c>
      <c r="X113" s="36">
        <f>IF(W29=$BQ$2,1,(IF(W29="",1,(IF(X29="",0,1)))))</f>
        <v>1</v>
      </c>
      <c r="AF113" s="36">
        <f t="shared" si="414"/>
        <v>25</v>
      </c>
      <c r="AG113" s="36"/>
      <c r="AH113" s="36" t="str">
        <f t="shared" si="421"/>
        <v/>
      </c>
      <c r="AI113" s="36">
        <f t="shared" si="421"/>
        <v>0</v>
      </c>
      <c r="AJ113" s="36" t="str">
        <f t="shared" si="421"/>
        <v/>
      </c>
      <c r="AM113" s="36" t="str">
        <f t="shared" si="422"/>
        <v/>
      </c>
      <c r="AN113" s="36">
        <f t="shared" si="422"/>
        <v>0</v>
      </c>
      <c r="AO113" s="36" t="str">
        <f t="shared" si="422"/>
        <v/>
      </c>
      <c r="AR113" s="36" t="str">
        <f t="shared" si="423"/>
        <v/>
      </c>
      <c r="AS113" s="36">
        <f t="shared" si="423"/>
        <v>0</v>
      </c>
      <c r="AT113" s="36" t="str">
        <f t="shared" si="423"/>
        <v/>
      </c>
      <c r="AW113" s="36" t="str">
        <f t="shared" si="424"/>
        <v/>
      </c>
      <c r="AX113" s="36">
        <f t="shared" si="424"/>
        <v>0</v>
      </c>
      <c r="AY113" s="36" t="str">
        <f t="shared" si="424"/>
        <v/>
      </c>
      <c r="BB113" s="36" t="str">
        <f t="shared" si="425"/>
        <v/>
      </c>
      <c r="BC113" s="36">
        <f t="shared" si="425"/>
        <v>0</v>
      </c>
      <c r="BD113" s="36" t="str">
        <f t="shared" si="425"/>
        <v/>
      </c>
      <c r="BY113" s="85"/>
      <c r="DL113" s="85"/>
      <c r="DM113" s="85"/>
      <c r="DN113" s="126">
        <f>SUM(DN81:DN112)</f>
        <v>0</v>
      </c>
      <c r="EQ113" s="53"/>
      <c r="ER113" s="53"/>
      <c r="ES113" s="53"/>
      <c r="ET113" s="53"/>
      <c r="EU113" s="53"/>
      <c r="EV113" s="53"/>
      <c r="EW113" s="53"/>
      <c r="GB113" s="36">
        <v>6</v>
      </c>
      <c r="GC113" s="138"/>
      <c r="GF113" s="36">
        <f>GF110</f>
        <v>3</v>
      </c>
      <c r="GG113" s="36">
        <f>GG110</f>
        <v>1</v>
      </c>
      <c r="GI113" s="36">
        <f>GI112</f>
        <v>2</v>
      </c>
      <c r="GJ113" s="149">
        <f>GJ112</f>
        <v>3</v>
      </c>
      <c r="GN113" s="36">
        <v>6</v>
      </c>
      <c r="GO113" s="138"/>
      <c r="GR113" s="36">
        <f>GR110</f>
        <v>6</v>
      </c>
      <c r="GS113" s="36">
        <f>GS110</f>
        <v>4</v>
      </c>
      <c r="GU113" s="36">
        <f t="shared" si="426"/>
        <v>5</v>
      </c>
      <c r="GV113" s="149">
        <f t="shared" si="426"/>
        <v>6</v>
      </c>
      <c r="GY113" s="183"/>
      <c r="GZ113" s="122"/>
      <c r="HC113" s="177"/>
      <c r="HD113" s="122"/>
      <c r="HF113" s="153"/>
    </row>
    <row r="114" spans="1:214" ht="12.75" hidden="1" customHeight="1" x14ac:dyDescent="0.25">
      <c r="A114" s="74"/>
      <c r="D114" s="37"/>
      <c r="F114" s="36">
        <f>IF(E29=$BQ$2,1,(IF(E29="",1,(IF(F30="",0,1)))))</f>
        <v>1</v>
      </c>
      <c r="I114" s="36">
        <f>IF(H29=$BQ$2,1,(IF(H29="",1,(IF(I30="",0,1)))))</f>
        <v>1</v>
      </c>
      <c r="L114" s="36">
        <f>IF(K29=$BQ$2,1,(IF(K29="",1,(IF(L30="",0,1)))))</f>
        <v>1</v>
      </c>
      <c r="O114" s="36">
        <f>IF(N29=$BQ$2,1,(IF(N29="",1,(IF(O30="",0,1)))))</f>
        <v>1</v>
      </c>
      <c r="R114" s="36">
        <f>IF(Q29=$BQ$2,1,(IF(Q29="",1,(IF(R30="",0,1)))))</f>
        <v>1</v>
      </c>
      <c r="U114" s="36">
        <f>IF(T29=$BQ$2,1,(IF(T29="",1,(IF(U30="",0,1)))))</f>
        <v>1</v>
      </c>
      <c r="X114" s="36">
        <f>IF(W29=$BQ$2,1,(IF(W29="",1,(IF(X30="",0,1)))))</f>
        <v>1</v>
      </c>
      <c r="AF114" s="36">
        <f t="shared" si="414"/>
        <v>26</v>
      </c>
      <c r="AG114" s="36"/>
      <c r="AH114" s="36" t="str">
        <f t="shared" si="421"/>
        <v/>
      </c>
      <c r="AI114" s="36">
        <f t="shared" si="421"/>
        <v>0</v>
      </c>
      <c r="AJ114" s="36" t="str">
        <f t="shared" si="421"/>
        <v/>
      </c>
      <c r="AM114" s="36" t="str">
        <f t="shared" si="422"/>
        <v/>
      </c>
      <c r="AN114" s="36">
        <f t="shared" si="422"/>
        <v>0</v>
      </c>
      <c r="AO114" s="36" t="str">
        <f t="shared" si="422"/>
        <v/>
      </c>
      <c r="AR114" s="36" t="str">
        <f t="shared" si="423"/>
        <v/>
      </c>
      <c r="AS114" s="36">
        <f t="shared" si="423"/>
        <v>0</v>
      </c>
      <c r="AT114" s="36" t="str">
        <f t="shared" si="423"/>
        <v/>
      </c>
      <c r="AW114" s="36" t="str">
        <f t="shared" si="424"/>
        <v/>
      </c>
      <c r="AX114" s="36">
        <f t="shared" si="424"/>
        <v>0</v>
      </c>
      <c r="AY114" s="36" t="str">
        <f t="shared" si="424"/>
        <v/>
      </c>
      <c r="BB114" s="36" t="str">
        <f t="shared" si="425"/>
        <v/>
      </c>
      <c r="BC114" s="36">
        <f t="shared" si="425"/>
        <v>0</v>
      </c>
      <c r="BD114" s="36" t="str">
        <f t="shared" si="425"/>
        <v/>
      </c>
      <c r="DQ114" s="67" t="str">
        <f>HE36</f>
        <v>Počet zápasníků</v>
      </c>
      <c r="DU114" s="36">
        <f>DO96</f>
        <v>3</v>
      </c>
      <c r="EX114" s="36" t="s">
        <v>35</v>
      </c>
      <c r="FA114" s="36" t="s">
        <v>35</v>
      </c>
      <c r="FL114" s="323" t="str">
        <f>[1]List1!$C$23</f>
        <v>Finále</v>
      </c>
      <c r="FM114" s="323"/>
      <c r="FN114" s="36">
        <f>('Tabulka finále'!CF53)*FN112</f>
        <v>1</v>
      </c>
      <c r="GB114" s="36">
        <v>7</v>
      </c>
      <c r="GC114" s="142">
        <f>GC108</f>
        <v>1</v>
      </c>
      <c r="GD114" s="83">
        <f>GD108</f>
        <v>2</v>
      </c>
      <c r="GE114" s="83"/>
      <c r="GF114" s="83">
        <f>GF113</f>
        <v>3</v>
      </c>
      <c r="GG114" s="83">
        <f>GG113</f>
        <v>1</v>
      </c>
      <c r="GH114" s="83"/>
      <c r="GI114" s="83">
        <f>GI112</f>
        <v>2</v>
      </c>
      <c r="GJ114" s="143">
        <f>GJ112</f>
        <v>3</v>
      </c>
      <c r="GN114" s="36">
        <v>7</v>
      </c>
      <c r="GO114" s="142">
        <f>GO108</f>
        <v>4</v>
      </c>
      <c r="GP114" s="83">
        <f>GP108</f>
        <v>5</v>
      </c>
      <c r="GQ114" s="83"/>
      <c r="GR114" s="83">
        <f>GR113</f>
        <v>6</v>
      </c>
      <c r="GS114" s="83">
        <f>GS113</f>
        <v>4</v>
      </c>
      <c r="GT114" s="83"/>
      <c r="GU114" s="83">
        <f t="shared" si="426"/>
        <v>5</v>
      </c>
      <c r="GV114" s="143">
        <f t="shared" si="426"/>
        <v>6</v>
      </c>
      <c r="GY114" s="183"/>
      <c r="GZ114" s="122"/>
      <c r="HC114" s="177">
        <f>GY97</f>
        <v>5</v>
      </c>
      <c r="HD114" s="122">
        <f>HD112+1</f>
        <v>18</v>
      </c>
      <c r="HF114" s="153" t="str">
        <f>HB97</f>
        <v>F</v>
      </c>
    </row>
    <row r="115" spans="1:214" ht="12.75" hidden="1" customHeight="1" x14ac:dyDescent="0.25">
      <c r="A115" s="74"/>
      <c r="D115" s="37">
        <v>13</v>
      </c>
      <c r="F115" s="36">
        <f>IF(E31=$BQ$2,1,(IF(E31="",1,(IF(F31="",0,1)))))</f>
        <v>1</v>
      </c>
      <c r="I115" s="36">
        <f>IF(H31=$BQ$2,1,(IF(H31="",1,(IF(I31="",0,1)))))</f>
        <v>1</v>
      </c>
      <c r="L115" s="36">
        <f>IF(K31=$BQ$2,1,(IF(K31="",1,(IF(L31="",0,1)))))</f>
        <v>1</v>
      </c>
      <c r="O115" s="36">
        <f>IF(N31=$BQ$2,1,(IF(N31="",1,(IF(O31="",0,1)))))</f>
        <v>1</v>
      </c>
      <c r="R115" s="36">
        <f>IF(Q31=$BQ$2,1,(IF(Q31="",1,(IF(R31="",0,1)))))</f>
        <v>1</v>
      </c>
      <c r="U115" s="36">
        <f>IF(T31=$BQ$2,1,(IF(T31="",1,(IF(U31="",0,1)))))</f>
        <v>1</v>
      </c>
      <c r="X115" s="36">
        <f>IF(W31=$BQ$2,1,(IF(W31="",1,(IF(X31="",0,1)))))</f>
        <v>1</v>
      </c>
      <c r="AF115" s="36">
        <f t="shared" si="414"/>
        <v>27</v>
      </c>
      <c r="AG115" s="36"/>
      <c r="AH115" s="36" t="str">
        <f t="shared" si="421"/>
        <v/>
      </c>
      <c r="AI115" s="36">
        <f t="shared" si="421"/>
        <v>0</v>
      </c>
      <c r="AJ115" s="36" t="str">
        <f t="shared" si="421"/>
        <v/>
      </c>
      <c r="AM115" s="36" t="str">
        <f t="shared" si="422"/>
        <v/>
      </c>
      <c r="AN115" s="36">
        <f t="shared" si="422"/>
        <v>0</v>
      </c>
      <c r="AO115" s="36" t="str">
        <f t="shared" si="422"/>
        <v/>
      </c>
      <c r="AR115" s="36" t="str">
        <f t="shared" si="423"/>
        <v/>
      </c>
      <c r="AS115" s="36">
        <f t="shared" si="423"/>
        <v>0</v>
      </c>
      <c r="AT115" s="36" t="str">
        <f t="shared" si="423"/>
        <v/>
      </c>
      <c r="AW115" s="36" t="str">
        <f t="shared" si="424"/>
        <v/>
      </c>
      <c r="AX115" s="36">
        <f t="shared" si="424"/>
        <v>0</v>
      </c>
      <c r="AY115" s="36" t="str">
        <f t="shared" si="424"/>
        <v/>
      </c>
      <c r="BB115" s="36" t="str">
        <f t="shared" si="425"/>
        <v/>
      </c>
      <c r="BC115" s="36">
        <f t="shared" si="425"/>
        <v>0</v>
      </c>
      <c r="BD115" s="36" t="str">
        <f t="shared" si="425"/>
        <v/>
      </c>
      <c r="BU115" s="36">
        <v>32</v>
      </c>
      <c r="BV115" s="36">
        <f>BU115-1</f>
        <v>31</v>
      </c>
      <c r="BW115" s="36">
        <f t="shared" ref="BW115:CC115" si="427">BV115-1</f>
        <v>30</v>
      </c>
      <c r="BX115" s="36">
        <f t="shared" si="427"/>
        <v>29</v>
      </c>
      <c r="BY115" s="36">
        <f t="shared" si="427"/>
        <v>28</v>
      </c>
      <c r="BZ115" s="36">
        <f t="shared" si="427"/>
        <v>27</v>
      </c>
      <c r="CA115" s="36">
        <f t="shared" si="427"/>
        <v>26</v>
      </c>
      <c r="CB115" s="36">
        <f t="shared" si="427"/>
        <v>25</v>
      </c>
      <c r="CC115" s="36">
        <f t="shared" si="427"/>
        <v>24</v>
      </c>
      <c r="CD115" s="36">
        <v>23</v>
      </c>
      <c r="CE115" s="36">
        <v>22</v>
      </c>
      <c r="CF115" s="36">
        <v>21</v>
      </c>
      <c r="CG115" s="36">
        <v>20</v>
      </c>
      <c r="CH115" s="36">
        <v>19</v>
      </c>
      <c r="CI115" s="36">
        <v>18</v>
      </c>
      <c r="CJ115" s="36">
        <v>17</v>
      </c>
      <c r="CK115" s="36">
        <v>16</v>
      </c>
      <c r="CL115" s="36">
        <v>15</v>
      </c>
      <c r="CM115" s="36">
        <v>14</v>
      </c>
      <c r="CN115" s="36">
        <v>13</v>
      </c>
      <c r="CO115" s="36">
        <v>12</v>
      </c>
      <c r="CP115" s="36">
        <v>11</v>
      </c>
      <c r="CQ115" s="36">
        <v>10</v>
      </c>
      <c r="CR115" s="36">
        <v>9</v>
      </c>
      <c r="CS115" s="36">
        <v>8</v>
      </c>
      <c r="CT115" s="36">
        <v>7</v>
      </c>
      <c r="CU115" s="36">
        <v>6</v>
      </c>
      <c r="DY115" s="36" t="str">
        <f>AE6</f>
        <v>poř.</v>
      </c>
      <c r="EF115" s="288" t="s">
        <v>42</v>
      </c>
      <c r="EG115" s="288"/>
      <c r="EH115" s="288"/>
      <c r="ER115" s="36" t="s">
        <v>5</v>
      </c>
      <c r="ES115" s="36" t="str">
        <f>DY115</f>
        <v>poř.</v>
      </c>
      <c r="ET115" s="36" t="s">
        <v>38</v>
      </c>
      <c r="EU115" s="36" t="str">
        <f>D6</f>
        <v>los</v>
      </c>
      <c r="EW115" s="36" t="s">
        <v>6</v>
      </c>
      <c r="EZ115" s="36" t="s">
        <v>4</v>
      </c>
      <c r="FC115" s="36" t="s">
        <v>5</v>
      </c>
      <c r="FJ115" s="36" t="str">
        <f>[1]List1!$G$26</f>
        <v>dis.</v>
      </c>
      <c r="GY115" s="183"/>
      <c r="GZ115" s="122"/>
      <c r="HC115" s="177"/>
      <c r="HD115" s="122"/>
      <c r="HF115" s="153"/>
    </row>
    <row r="116" spans="1:214" ht="13.5" hidden="1" customHeight="1" thickBot="1" x14ac:dyDescent="0.3">
      <c r="A116" s="74"/>
      <c r="D116" s="37"/>
      <c r="F116" s="36">
        <f>IF(E31=$BQ$2,1,(IF(E31="",1,(IF(F32="",0,1)))))</f>
        <v>1</v>
      </c>
      <c r="I116" s="36">
        <f>IF(H31=$BQ$2,1,(IF(H31="",1,(IF(I32="",0,1)))))</f>
        <v>1</v>
      </c>
      <c r="L116" s="36">
        <f>IF(K31=$BQ$2,1,(IF(K31="",1,(IF(L32="",0,1)))))</f>
        <v>1</v>
      </c>
      <c r="O116" s="36">
        <f>IF(N31=$BQ$2,1,(IF(N31="",1,(IF(O32="",0,1)))))</f>
        <v>1</v>
      </c>
      <c r="R116" s="36">
        <f>IF(Q31=$BQ$2,1,(IF(Q31="",1,(IF(R32="",0,1)))))</f>
        <v>1</v>
      </c>
      <c r="U116" s="36">
        <f>IF(T31=$BQ$2,1,(IF(T31="",1,(IF(U32="",0,1)))))</f>
        <v>1</v>
      </c>
      <c r="X116" s="36">
        <f>IF(W31=$BQ$2,1,(IF(W31="",1,(IF(X32="",0,1)))))</f>
        <v>1</v>
      </c>
      <c r="AF116" s="36">
        <f t="shared" si="414"/>
        <v>28</v>
      </c>
      <c r="AG116" s="36"/>
      <c r="AH116" s="36" t="str">
        <f t="shared" si="421"/>
        <v/>
      </c>
      <c r="AI116" s="36">
        <f t="shared" si="421"/>
        <v>0</v>
      </c>
      <c r="AJ116" s="36" t="str">
        <f t="shared" si="421"/>
        <v/>
      </c>
      <c r="AM116" s="36" t="str">
        <f t="shared" si="422"/>
        <v/>
      </c>
      <c r="AN116" s="36">
        <f t="shared" si="422"/>
        <v>0</v>
      </c>
      <c r="AO116" s="36" t="str">
        <f t="shared" si="422"/>
        <v/>
      </c>
      <c r="AR116" s="36" t="str">
        <f t="shared" si="423"/>
        <v/>
      </c>
      <c r="AS116" s="36">
        <f t="shared" si="423"/>
        <v>0</v>
      </c>
      <c r="AT116" s="36" t="str">
        <f t="shared" si="423"/>
        <v/>
      </c>
      <c r="AW116" s="36" t="str">
        <f t="shared" si="424"/>
        <v/>
      </c>
      <c r="AX116" s="36">
        <f t="shared" si="424"/>
        <v>0</v>
      </c>
      <c r="AY116" s="36" t="str">
        <f t="shared" si="424"/>
        <v/>
      </c>
      <c r="BB116" s="36">
        <f t="shared" si="425"/>
        <v>0</v>
      </c>
      <c r="BC116" s="36">
        <f t="shared" si="425"/>
        <v>0</v>
      </c>
      <c r="BD116" s="36" t="str">
        <f t="shared" si="425"/>
        <v/>
      </c>
      <c r="DL116" s="288" t="str">
        <f>'Tabulka finále'!A1</f>
        <v>Tabulka finále</v>
      </c>
      <c r="DM116" s="288"/>
      <c r="DN116" s="288"/>
      <c r="DO116" s="288"/>
      <c r="DR116" s="36">
        <v>9</v>
      </c>
      <c r="DT116" s="53"/>
      <c r="DU116" s="288">
        <v>10000000000</v>
      </c>
      <c r="DV116" s="288"/>
      <c r="DW116" s="288"/>
      <c r="DX116" s="288"/>
      <c r="DY116" s="288"/>
      <c r="DZ116" s="288"/>
      <c r="EB116" s="288" t="s">
        <v>41</v>
      </c>
      <c r="EC116" s="288"/>
      <c r="ED116" s="288"/>
      <c r="EF116" s="36" t="s">
        <v>25</v>
      </c>
      <c r="EJ116" s="36" t="s">
        <v>0</v>
      </c>
      <c r="EK116" s="36" t="s">
        <v>5</v>
      </c>
      <c r="EO116" s="36" t="s">
        <v>7</v>
      </c>
      <c r="FU116" s="330" t="str">
        <f>II38</f>
        <v>do tabulky</v>
      </c>
      <c r="FV116" s="331"/>
      <c r="FW116" s="332"/>
      <c r="GY116" s="183"/>
      <c r="GZ116" s="122"/>
      <c r="HC116" s="177">
        <f>GY98</f>
        <v>6</v>
      </c>
      <c r="HD116" s="122">
        <f>HD114+1</f>
        <v>19</v>
      </c>
      <c r="HF116" s="153" t="str">
        <f>HB98</f>
        <v>F</v>
      </c>
    </row>
    <row r="117" spans="1:214" ht="13.5" hidden="1" customHeight="1" thickTop="1" x14ac:dyDescent="0.25">
      <c r="A117" s="74"/>
      <c r="D117" s="37">
        <v>14</v>
      </c>
      <c r="F117" s="36">
        <f>IF(E33=$BQ$2,1,(IF(E33="",1,(IF(F33="",0,1)))))</f>
        <v>1</v>
      </c>
      <c r="I117" s="36">
        <f>IF(H33=$BQ$2,1,(IF(H33="",1,(IF(I33="",0,1)))))</f>
        <v>1</v>
      </c>
      <c r="L117" s="36">
        <f>IF(K33=$BQ$2,1,(IF(K33="",1,(IF(L33="",0,1)))))</f>
        <v>1</v>
      </c>
      <c r="O117" s="36">
        <f>IF(N33=$BQ$2,1,(IF(N33="",1,(IF(O33="",0,1)))))</f>
        <v>1</v>
      </c>
      <c r="R117" s="36">
        <f>IF(Q33=$BQ$2,1,(IF(Q33="",1,(IF(R33="",0,1)))))</f>
        <v>1</v>
      </c>
      <c r="U117" s="36">
        <f>IF(T33=$BQ$2,1,(IF(T33="",1,(IF(U33="",0,1)))))</f>
        <v>1</v>
      </c>
      <c r="X117" s="36">
        <f>IF(W33=$BQ$2,1,(IF(W33="",1,(IF(X33="",0,1)))))</f>
        <v>1</v>
      </c>
      <c r="AF117" s="36">
        <f t="shared" si="414"/>
        <v>29</v>
      </c>
      <c r="AG117" s="36"/>
      <c r="AH117" s="36" t="str">
        <f t="shared" si="421"/>
        <v/>
      </c>
      <c r="AI117" s="36">
        <f t="shared" si="421"/>
        <v>0</v>
      </c>
      <c r="AJ117" s="36" t="str">
        <f t="shared" si="421"/>
        <v/>
      </c>
      <c r="AM117" s="36" t="str">
        <f t="shared" si="422"/>
        <v/>
      </c>
      <c r="AN117" s="36">
        <f t="shared" si="422"/>
        <v>0</v>
      </c>
      <c r="AO117" s="36" t="str">
        <f t="shared" si="422"/>
        <v/>
      </c>
      <c r="AR117" s="36">
        <f t="shared" si="423"/>
        <v>0</v>
      </c>
      <c r="AS117" s="36">
        <f t="shared" si="423"/>
        <v>0</v>
      </c>
      <c r="AT117" s="36">
        <f t="shared" si="423"/>
        <v>0</v>
      </c>
      <c r="AW117" s="36">
        <f t="shared" si="424"/>
        <v>0</v>
      </c>
      <c r="AX117" s="36">
        <f t="shared" si="424"/>
        <v>0</v>
      </c>
      <c r="AY117" s="36">
        <f t="shared" si="424"/>
        <v>0</v>
      </c>
      <c r="BB117" s="36">
        <f t="shared" si="425"/>
        <v>0</v>
      </c>
      <c r="BC117" s="36">
        <f t="shared" si="425"/>
        <v>0</v>
      </c>
      <c r="BD117" s="36">
        <f t="shared" si="425"/>
        <v>0</v>
      </c>
      <c r="BU117" s="36">
        <v>1</v>
      </c>
      <c r="BV117" s="36">
        <f>BU117+1</f>
        <v>2</v>
      </c>
      <c r="BW117" s="36">
        <f t="shared" ref="BW117:CC117" si="428">BV117+1</f>
        <v>3</v>
      </c>
      <c r="BX117" s="36">
        <f t="shared" si="428"/>
        <v>4</v>
      </c>
      <c r="BY117" s="36">
        <f t="shared" si="428"/>
        <v>5</v>
      </c>
      <c r="BZ117" s="36">
        <f t="shared" si="428"/>
        <v>6</v>
      </c>
      <c r="CA117" s="36">
        <f t="shared" si="428"/>
        <v>7</v>
      </c>
      <c r="CB117" s="36">
        <f t="shared" si="428"/>
        <v>8</v>
      </c>
      <c r="CC117" s="36">
        <f t="shared" si="428"/>
        <v>9</v>
      </c>
      <c r="CD117" s="36">
        <v>10</v>
      </c>
      <c r="CE117" s="36">
        <v>11</v>
      </c>
      <c r="CF117" s="36">
        <v>12</v>
      </c>
      <c r="CG117" s="36">
        <v>13</v>
      </c>
      <c r="CH117" s="36">
        <v>14</v>
      </c>
      <c r="CI117" s="36">
        <v>15</v>
      </c>
      <c r="CJ117" s="36">
        <v>16</v>
      </c>
      <c r="CK117" s="36">
        <v>17</v>
      </c>
      <c r="CL117" s="36">
        <v>18</v>
      </c>
      <c r="CM117" s="36">
        <v>19</v>
      </c>
      <c r="CN117" s="36">
        <v>20</v>
      </c>
      <c r="CO117" s="36">
        <v>21</v>
      </c>
      <c r="CP117" s="36">
        <v>22</v>
      </c>
      <c r="CQ117" s="36">
        <v>23</v>
      </c>
      <c r="CR117" s="36">
        <v>24</v>
      </c>
      <c r="CS117" s="36">
        <v>25</v>
      </c>
      <c r="CT117" s="36">
        <v>26</v>
      </c>
      <c r="CU117" s="36">
        <v>27</v>
      </c>
      <c r="DM117" s="200" t="str">
        <f>'Tabulka finále'!CF32</f>
        <v>los</v>
      </c>
      <c r="DN117" s="197" t="str">
        <f>'Tabulka finále'!CG32</f>
        <v>poř.</v>
      </c>
      <c r="DR117" s="36" t="s">
        <v>40</v>
      </c>
      <c r="DS117" s="36" t="s">
        <v>0</v>
      </c>
      <c r="DW117" s="15" t="s">
        <v>37</v>
      </c>
      <c r="DX117" s="309" t="str">
        <f>DX80</f>
        <v>sens</v>
      </c>
      <c r="DY117" s="309"/>
      <c r="DZ117" s="309"/>
      <c r="EA117" s="67" t="s">
        <v>36</v>
      </c>
      <c r="EJ117" s="83"/>
      <c r="FF117" s="36" t="str">
        <f>EU115</f>
        <v>los</v>
      </c>
      <c r="FG117" s="36" t="str">
        <f>ES115</f>
        <v>poř.</v>
      </c>
      <c r="FI117" s="36" t="str">
        <f>FF117</f>
        <v>los</v>
      </c>
      <c r="FK117" s="36" t="str">
        <f>FG117</f>
        <v>poř.</v>
      </c>
      <c r="FP117" s="36" t="str">
        <f>FG117</f>
        <v>poř.</v>
      </c>
      <c r="FU117" s="138"/>
      <c r="FW117" s="149"/>
      <c r="GC117" s="36">
        <v>1</v>
      </c>
      <c r="GD117" s="36">
        <v>2</v>
      </c>
      <c r="GE117" s="36">
        <v>3</v>
      </c>
      <c r="GF117" s="36">
        <v>4</v>
      </c>
      <c r="GG117" s="36">
        <v>5</v>
      </c>
      <c r="GH117" s="36">
        <v>6</v>
      </c>
      <c r="GI117" s="36">
        <v>7</v>
      </c>
      <c r="GJ117" s="36">
        <v>8</v>
      </c>
      <c r="GO117" s="36">
        <v>1</v>
      </c>
      <c r="GP117" s="36">
        <v>2</v>
      </c>
      <c r="GQ117" s="36">
        <v>3</v>
      </c>
      <c r="GR117" s="36">
        <v>4</v>
      </c>
      <c r="GS117" s="36">
        <v>5</v>
      </c>
      <c r="GT117" s="36">
        <v>6</v>
      </c>
      <c r="GU117" s="36">
        <v>7</v>
      </c>
      <c r="GV117" s="36">
        <v>8</v>
      </c>
      <c r="GY117" s="183"/>
      <c r="GZ117" s="122"/>
      <c r="HC117" s="177"/>
      <c r="HD117" s="122"/>
      <c r="HF117" s="153"/>
    </row>
    <row r="118" spans="1:214" ht="12.75" hidden="1" customHeight="1" x14ac:dyDescent="0.25">
      <c r="A118" s="74"/>
      <c r="D118" s="37"/>
      <c r="F118" s="36">
        <f>IF(E33=$BQ$2,1,(IF(E33="",1,(IF(F34="",0,1)))))</f>
        <v>1</v>
      </c>
      <c r="I118" s="36">
        <f>IF(H33=$BQ$2,1,(IF(H33="",1,(IF(I34="",0,1)))))</f>
        <v>1</v>
      </c>
      <c r="L118" s="36">
        <f>IF(K33=$BQ$2,1,(IF(K33="",1,(IF(L34="",0,1)))))</f>
        <v>1</v>
      </c>
      <c r="O118" s="36">
        <f>IF(N33=$BQ$2,1,(IF(N33="",1,(IF(O34="",0,1)))))</f>
        <v>1</v>
      </c>
      <c r="R118" s="36">
        <f>IF(Q33=$BQ$2,1,(IF(Q33="",1,(IF(R34="",0,1)))))</f>
        <v>1</v>
      </c>
      <c r="U118" s="36">
        <f>IF(T33=$BQ$2,1,(IF(T33="",1,(IF(U34="",0,1)))))</f>
        <v>1</v>
      </c>
      <c r="X118" s="36">
        <f>IF(W33=$BQ$2,1,(IF(W33="",1,(IF(X34="",0,1)))))</f>
        <v>1</v>
      </c>
      <c r="AF118" s="36">
        <f t="shared" si="414"/>
        <v>30</v>
      </c>
      <c r="AG118" s="36"/>
      <c r="AH118" s="36" t="str">
        <f t="shared" si="421"/>
        <v/>
      </c>
      <c r="AI118" s="36">
        <f t="shared" si="421"/>
        <v>0</v>
      </c>
      <c r="AJ118" s="36" t="str">
        <f t="shared" si="421"/>
        <v/>
      </c>
      <c r="AM118" s="36" t="str">
        <f t="shared" si="422"/>
        <v/>
      </c>
      <c r="AN118" s="36">
        <f t="shared" si="422"/>
        <v>0</v>
      </c>
      <c r="AO118" s="36" t="str">
        <f t="shared" si="422"/>
        <v/>
      </c>
      <c r="AR118" s="36">
        <f t="shared" si="423"/>
        <v>0</v>
      </c>
      <c r="AS118" s="36">
        <f t="shared" si="423"/>
        <v>0</v>
      </c>
      <c r="AT118" s="36">
        <f t="shared" si="423"/>
        <v>0</v>
      </c>
      <c r="AW118" s="36">
        <f t="shared" si="424"/>
        <v>0</v>
      </c>
      <c r="AX118" s="36">
        <f t="shared" si="424"/>
        <v>0</v>
      </c>
      <c r="AY118" s="36">
        <f t="shared" si="424"/>
        <v>0</v>
      </c>
      <c r="BB118" s="36">
        <f t="shared" si="425"/>
        <v>0</v>
      </c>
      <c r="BC118" s="36">
        <f t="shared" si="425"/>
        <v>0</v>
      </c>
      <c r="BD118" s="36">
        <f t="shared" si="425"/>
        <v>0</v>
      </c>
      <c r="BT118" s="36">
        <v>1</v>
      </c>
      <c r="BU118" s="140">
        <v>1</v>
      </c>
      <c r="BV118" s="85">
        <v>1</v>
      </c>
      <c r="BW118" s="85">
        <v>1</v>
      </c>
      <c r="BX118" s="85">
        <v>1</v>
      </c>
      <c r="BY118" s="85">
        <v>1</v>
      </c>
      <c r="BZ118" s="85">
        <v>1</v>
      </c>
      <c r="CA118" s="85">
        <v>1</v>
      </c>
      <c r="CB118" s="85">
        <v>1</v>
      </c>
      <c r="CC118" s="85">
        <v>1</v>
      </c>
      <c r="CD118" s="85">
        <v>1</v>
      </c>
      <c r="CE118" s="85">
        <v>1</v>
      </c>
      <c r="CF118" s="85">
        <v>1</v>
      </c>
      <c r="CG118" s="85">
        <v>1</v>
      </c>
      <c r="CH118" s="85">
        <v>1</v>
      </c>
      <c r="CI118" s="85">
        <v>1</v>
      </c>
      <c r="CJ118" s="85">
        <v>1</v>
      </c>
      <c r="CK118" s="85">
        <v>1</v>
      </c>
      <c r="CL118" s="85">
        <v>1</v>
      </c>
      <c r="CM118" s="85">
        <v>1</v>
      </c>
      <c r="CN118" s="85">
        <v>1</v>
      </c>
      <c r="CO118" s="85">
        <v>1</v>
      </c>
      <c r="CP118" s="85">
        <v>1</v>
      </c>
      <c r="CQ118" s="85">
        <v>1</v>
      </c>
      <c r="CR118" s="85">
        <v>1</v>
      </c>
      <c r="CS118" s="85">
        <v>1</v>
      </c>
      <c r="CT118" s="85">
        <v>1</v>
      </c>
      <c r="CU118" s="141">
        <v>1</v>
      </c>
      <c r="DM118" s="203">
        <f>'Tabulka finále'!CF33</f>
        <v>2</v>
      </c>
      <c r="DN118" s="173" t="str">
        <f>IF('Tabulka finále'!$BM$35=0,"",('Tabulka finále'!CG33))</f>
        <v/>
      </c>
      <c r="DP118" s="36">
        <f>INDEX($BU$118:$CU$149,BT118,$DL$129)</f>
        <v>1</v>
      </c>
      <c r="DR118" s="140">
        <f>IF(DP118=$DM$118,$DN$118,IF(DP118=$DM$119,$DN$119,IF(DP118=$DM$120,$DN$120,IF(DP118=$DM$121,$DN$121,IF(DP118=$DM$122,$DN$122,IF(DP118=$DM$123,$DN$123,""))))))</f>
        <v>3</v>
      </c>
      <c r="DS118" s="85">
        <f>IF(DR118="","",DP118)</f>
        <v>1</v>
      </c>
      <c r="DT118" s="85"/>
      <c r="DU118" s="392">
        <f>IF(FJ118="",(IF(DS118="",0,(9-DR118)*$DU$116+DS118+0.01*DS118+0.001)),0)</f>
        <v>60000000001.011002</v>
      </c>
      <c r="DV118" s="392"/>
      <c r="DW118" s="392"/>
      <c r="DX118" s="296">
        <f>IF(DP118=0,$DU$116+0.001,(IF(DN81=1,10000000099,(IF(DR118=$BH$1,10000000099,(IF(AD7="",(DX81+9000000000),10000000099)))))))</f>
        <v>39560210098.011002</v>
      </c>
      <c r="DY118" s="296"/>
      <c r="DZ118" s="296"/>
      <c r="EA118" s="199">
        <f>LEN(DX118)</f>
        <v>15</v>
      </c>
      <c r="EB118" s="392">
        <f>IF(DU118=0,DX118,DU118)</f>
        <v>60000000001.011002</v>
      </c>
      <c r="EC118" s="392"/>
      <c r="ED118" s="392"/>
      <c r="EE118" s="85"/>
      <c r="EF118" s="392">
        <f>LARGE($EB$118:$ED$149,BT118)</f>
        <v>80000000006.061005</v>
      </c>
      <c r="EG118" s="392"/>
      <c r="EH118" s="392"/>
      <c r="EI118" s="85">
        <f t="shared" ref="EI118:EI123" si="429">VALUE(MID(EF118,1,1))</f>
        <v>8</v>
      </c>
      <c r="EJ118" s="36">
        <f>VALUE(MID(EF118,EK118-5,2))</f>
        <v>6</v>
      </c>
      <c r="EK118" s="85">
        <f>LEN(EF118)</f>
        <v>15</v>
      </c>
      <c r="EL118" s="85"/>
      <c r="EM118" s="85">
        <v>1</v>
      </c>
      <c r="EN118" s="141">
        <f>EM118</f>
        <v>1</v>
      </c>
      <c r="EO118" s="398">
        <f>IF((VALUE((MID(EF118,1,1))))&gt;1,((MID(EF118,1,6))*100),(MID(EF118,2,EK118-3)))+0.001*EQ118</f>
        <v>80000000.005999997</v>
      </c>
      <c r="EP118" s="399"/>
      <c r="EQ118" s="53">
        <f>VALUE(MID(EF118,EK118-5,2))</f>
        <v>6</v>
      </c>
      <c r="ER118" s="36">
        <f>LEN(EO118)</f>
        <v>12</v>
      </c>
      <c r="ES118" s="36">
        <f t="shared" ref="ES118:ES123" si="430">IF(EN118&gt;$EU$111,99,(EN118))</f>
        <v>1</v>
      </c>
      <c r="ET118" s="36">
        <f>IF(ES118=99,99,(ES118))</f>
        <v>1</v>
      </c>
      <c r="EU118" s="36">
        <f>IF(ES118&gt;$EU$111,99,(VALUE(MID(EF118,EK118-2,2))))</f>
        <v>6</v>
      </c>
      <c r="EW118" s="323">
        <f>(100+EU118)*100+ET118</f>
        <v>10601</v>
      </c>
      <c r="EX118" s="323"/>
      <c r="EZ118" s="323">
        <f>IF(EM118&gt;32,(10000+($EU$149)*100+$ES$149),(SMALL($EW$118:$EX$149,EM118)))</f>
        <v>10103</v>
      </c>
      <c r="FA118" s="323"/>
      <c r="FC118" s="36">
        <f>LEN(EZ118)</f>
        <v>5</v>
      </c>
      <c r="FF118" s="36">
        <f>VALUE(MID(EZ118,2,2))</f>
        <v>1</v>
      </c>
      <c r="FG118" s="36">
        <f>(VALUE(MID(EZ118,FC118-1,2)))</f>
        <v>3</v>
      </c>
      <c r="FI118" s="36">
        <f>DP118</f>
        <v>1</v>
      </c>
      <c r="FJ118" s="36" t="str">
        <f>IF(AD7="","",$FJ$115)</f>
        <v/>
      </c>
      <c r="FK118" s="36">
        <f>IF(FI118=$FF$118,$FG$118,IF(FI118=$FF$119,$FG$119,IF(FI118=$FF$120,$FG$120,IF(FI118=$FF$121,$FG$121,IF(FI118=$FF$122,$FG$122,IF(FI118=$FF$123,$FG$123,IF(FI118=$FF$124,$FG$124,IF(FI118=$FF$125,$FG$125,""))))))))</f>
        <v>3</v>
      </c>
      <c r="FL118" s="36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36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36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36">
        <f>SUM(FK118:FN118)</f>
        <v>3</v>
      </c>
      <c r="FQ118" s="36">
        <f>IF(FJ118="",(IF($FN$114=1,(IF(FP118=0,"",FP118)),"")),FJ118)</f>
        <v>3</v>
      </c>
      <c r="FS118" s="36">
        <v>1</v>
      </c>
      <c r="FU118" s="138">
        <v>1</v>
      </c>
      <c r="FW118" s="149">
        <f>FQ118</f>
        <v>3</v>
      </c>
      <c r="GB118" s="36">
        <v>1</v>
      </c>
      <c r="GC118" s="170" t="str">
        <f>IF($GD$89=0,"",(INDEX($GC$108:$GJ$114,$GD$89,GC117)))</f>
        <v/>
      </c>
      <c r="GD118" s="191" t="str">
        <f t="shared" ref="GD118:GJ118" si="431">IF($GD$89=0,"",(INDEX($GC$108:$GJ$114,$GD$89,GD117)))</f>
        <v/>
      </c>
      <c r="GE118" s="191" t="str">
        <f t="shared" si="431"/>
        <v/>
      </c>
      <c r="GF118" s="191" t="str">
        <f t="shared" si="431"/>
        <v/>
      </c>
      <c r="GG118" s="191" t="str">
        <f t="shared" si="431"/>
        <v/>
      </c>
      <c r="GH118" s="191" t="str">
        <f t="shared" si="431"/>
        <v/>
      </c>
      <c r="GI118" s="191" t="str">
        <f t="shared" si="431"/>
        <v/>
      </c>
      <c r="GJ118" s="171" t="str">
        <f t="shared" si="431"/>
        <v/>
      </c>
      <c r="GN118" s="36">
        <v>1</v>
      </c>
      <c r="GO118" s="170" t="str">
        <f>IF($GD$105=0,"",(INDEX($GO$108:$GV$114,$GD$105,GO117)))</f>
        <v/>
      </c>
      <c r="GP118" s="191" t="str">
        <f t="shared" ref="GP118:GV118" si="432">IF($GD$105=0,"",(INDEX($GO$108:$GV$114,$GD$105,GP117)))</f>
        <v/>
      </c>
      <c r="GQ118" s="191"/>
      <c r="GR118" s="191" t="str">
        <f t="shared" si="432"/>
        <v/>
      </c>
      <c r="GS118" s="191" t="str">
        <f t="shared" si="432"/>
        <v/>
      </c>
      <c r="GT118" s="191"/>
      <c r="GU118" s="191" t="str">
        <f t="shared" si="432"/>
        <v/>
      </c>
      <c r="GV118" s="171" t="str">
        <f t="shared" si="432"/>
        <v/>
      </c>
      <c r="GY118" s="183"/>
      <c r="GZ118" s="122"/>
      <c r="HC118" s="177" t="str">
        <f>GY99</f>
        <v/>
      </c>
      <c r="HD118" s="122">
        <f>HD116+1</f>
        <v>20</v>
      </c>
      <c r="HF118" s="153" t="str">
        <f>HB99</f>
        <v/>
      </c>
    </row>
    <row r="119" spans="1:214" ht="12.75" hidden="1" customHeight="1" x14ac:dyDescent="0.25">
      <c r="A119" s="74"/>
      <c r="D119" s="37">
        <v>15</v>
      </c>
      <c r="F119" s="36">
        <f>IF(E35=$BQ$2,1,(IF(E35="",1,(IF(F35="",0,1)))))</f>
        <v>1</v>
      </c>
      <c r="I119" s="36">
        <f>IF(H35=$BQ$2,1,(IF(H35="",1,(IF(I35="",0,1)))))</f>
        <v>1</v>
      </c>
      <c r="L119" s="36">
        <f>IF(K35=$BQ$2,1,(IF(K35="",1,(IF(L35="",0,1)))))</f>
        <v>1</v>
      </c>
      <c r="O119" s="36">
        <f>IF(N35=$BQ$2,1,(IF(N35="",1,(IF(O35="",0,1)))))</f>
        <v>1</v>
      </c>
      <c r="R119" s="36">
        <f>IF(Q35=$BQ$2,1,(IF(Q35="",1,(IF(R35="",0,1)))))</f>
        <v>1</v>
      </c>
      <c r="U119" s="36">
        <f>IF(T35=$BQ$2,1,(IF(T35="",1,(IF(U35="",0,1)))))</f>
        <v>1</v>
      </c>
      <c r="X119" s="36">
        <f>IF(W35=$BQ$2,1,(IF(W35="",1,(IF(X35="",0,1)))))</f>
        <v>1</v>
      </c>
      <c r="AF119" s="36">
        <f t="shared" si="414"/>
        <v>31</v>
      </c>
      <c r="AG119" s="36"/>
      <c r="AH119" s="36" t="str">
        <f t="shared" si="421"/>
        <v/>
      </c>
      <c r="AI119" s="36">
        <f t="shared" si="421"/>
        <v>0</v>
      </c>
      <c r="AJ119" s="36" t="str">
        <f t="shared" si="421"/>
        <v/>
      </c>
      <c r="AM119" s="36" t="str">
        <f t="shared" si="422"/>
        <v/>
      </c>
      <c r="AN119" s="36">
        <f t="shared" si="422"/>
        <v>0</v>
      </c>
      <c r="AO119" s="36" t="str">
        <f t="shared" si="422"/>
        <v/>
      </c>
      <c r="AR119" s="36">
        <f t="shared" si="423"/>
        <v>0</v>
      </c>
      <c r="AS119" s="36">
        <f t="shared" si="423"/>
        <v>0</v>
      </c>
      <c r="AT119" s="36">
        <f t="shared" si="423"/>
        <v>0</v>
      </c>
      <c r="AW119" s="36">
        <f t="shared" si="424"/>
        <v>0</v>
      </c>
      <c r="AX119" s="36">
        <f t="shared" si="424"/>
        <v>0</v>
      </c>
      <c r="AY119" s="36">
        <f t="shared" si="424"/>
        <v>0</v>
      </c>
      <c r="BB119" s="36">
        <f t="shared" si="425"/>
        <v>0</v>
      </c>
      <c r="BC119" s="36">
        <f t="shared" si="425"/>
        <v>0</v>
      </c>
      <c r="BD119" s="36">
        <f t="shared" si="425"/>
        <v>0</v>
      </c>
      <c r="BT119" s="36">
        <f>BT118+1</f>
        <v>2</v>
      </c>
      <c r="BU119" s="138">
        <v>2</v>
      </c>
      <c r="BV119" s="36">
        <v>2</v>
      </c>
      <c r="BW119" s="36">
        <v>2</v>
      </c>
      <c r="BX119" s="36">
        <v>2</v>
      </c>
      <c r="BY119" s="36">
        <v>2</v>
      </c>
      <c r="BZ119" s="36">
        <v>2</v>
      </c>
      <c r="CA119" s="36">
        <v>2</v>
      </c>
      <c r="CB119" s="36">
        <v>2</v>
      </c>
      <c r="CC119" s="36">
        <v>2</v>
      </c>
      <c r="CD119" s="36">
        <v>2</v>
      </c>
      <c r="CE119" s="36">
        <v>2</v>
      </c>
      <c r="CF119" s="36">
        <v>2</v>
      </c>
      <c r="CG119" s="36">
        <v>2</v>
      </c>
      <c r="CH119" s="36">
        <v>2</v>
      </c>
      <c r="CI119" s="36">
        <v>2</v>
      </c>
      <c r="CJ119" s="36">
        <v>2</v>
      </c>
      <c r="CK119" s="36">
        <v>2</v>
      </c>
      <c r="CL119" s="36">
        <v>2</v>
      </c>
      <c r="CM119" s="36">
        <v>2</v>
      </c>
      <c r="CN119" s="36">
        <v>2</v>
      </c>
      <c r="CO119" s="36">
        <v>2</v>
      </c>
      <c r="CP119" s="36">
        <v>2</v>
      </c>
      <c r="CQ119" s="36">
        <v>2</v>
      </c>
      <c r="CR119" s="36">
        <v>2</v>
      </c>
      <c r="CS119" s="36">
        <v>2</v>
      </c>
      <c r="CT119" s="36">
        <v>2</v>
      </c>
      <c r="CU119" s="149">
        <v>2</v>
      </c>
      <c r="DM119" s="203">
        <f>'Tabulka finále'!CF34</f>
        <v>4</v>
      </c>
      <c r="DN119" s="173" t="str">
        <f>IF('Tabulka finále'!$BM$35=0,"",('Tabulka finále'!CG34))</f>
        <v/>
      </c>
      <c r="DP119" s="36">
        <f t="shared" ref="DP119:DP149" si="433">INDEX($BU$118:$CU$149,BT119,$DL$129)</f>
        <v>2</v>
      </c>
      <c r="DR119" s="138" t="str">
        <f t="shared" ref="DR119:DR149" si="434">IF(DP119=$DM$118,$DN$118,IF(DP119=$DM$119,$DN$119,IF(DP119=$DM$120,$DN$120,IF(DP119=$DM$121,$DN$121,IF(DP119=$DM$122,$DN$122,IF(DP119=$DM$123,$DN$123,""))))))</f>
        <v/>
      </c>
      <c r="DS119" s="36" t="str">
        <f t="shared" ref="DS119:DS149" si="435">IF(DR119="","",DP119)</f>
        <v/>
      </c>
      <c r="DU119" s="296">
        <f t="shared" ref="DU119:DU149" si="436">IF(FJ119="",(IF(DS119="",0,(9-DR119)*$DU$116+DS119+0.01*DS119+0.001)),0)</f>
        <v>0</v>
      </c>
      <c r="DV119" s="296"/>
      <c r="DW119" s="296"/>
      <c r="DX119" s="296">
        <f t="shared" ref="DX119:DX149" si="437">IF(DP119=0,$DU$116+0.001,(IF(DN82=1,10000000099,(IF(DR119=$BH$1,10000000099,(IF(AD8="",(DX82+9000000000),10000000099)))))))</f>
        <v>29050000097.021</v>
      </c>
      <c r="DY119" s="296"/>
      <c r="DZ119" s="296"/>
      <c r="EA119" s="53">
        <f t="shared" ref="EA119:EA149" si="438">LEN(DX119)</f>
        <v>15</v>
      </c>
      <c r="EB119" s="296">
        <f t="shared" ref="EB119:EB149" si="439">IF(DU119=0,DX119,DU119)</f>
        <v>29050000097.021</v>
      </c>
      <c r="EC119" s="296"/>
      <c r="ED119" s="296"/>
      <c r="EF119" s="296">
        <f t="shared" ref="EF119:EF149" si="440">LARGE($EB$118:$ED$149,BT119)</f>
        <v>70000000003.031006</v>
      </c>
      <c r="EG119" s="296"/>
      <c r="EH119" s="296"/>
      <c r="EI119" s="36">
        <f t="shared" si="429"/>
        <v>7</v>
      </c>
      <c r="EJ119" s="36">
        <f t="shared" ref="EJ119:EJ149" si="441">VALUE(MID(EF119,EK119-5,2))</f>
        <v>3</v>
      </c>
      <c r="EK119" s="36">
        <f t="shared" ref="EK119:EK149" si="442">LEN(EF119)</f>
        <v>15</v>
      </c>
      <c r="EL119" s="36">
        <f>IF(EI119=EI118,1,0)</f>
        <v>0</v>
      </c>
      <c r="EM119" s="36">
        <f t="shared" ref="EM119:EM125" si="443">EM118+1</f>
        <v>2</v>
      </c>
      <c r="EN119" s="149">
        <f>IF(EJ119=0,EM119,(IF(EL119=0,EM119,EN118)))</f>
        <v>2</v>
      </c>
      <c r="EO119" s="398">
        <f t="shared" ref="EO119:EO149" si="444">IF((VALUE((MID(EF119,1,1))))&gt;1,((MID(EF119,1,6))*100),(MID(EF119,2,EK119-3)))+0.001*EQ119</f>
        <v>70000000.003000006</v>
      </c>
      <c r="EP119" s="399"/>
      <c r="EQ119" s="53">
        <f>VALUE(MID(EF119,EK119-5,2))</f>
        <v>3</v>
      </c>
      <c r="ER119" s="36">
        <f t="shared" ref="ER119:ER149" si="445">LEN(EO119)</f>
        <v>12</v>
      </c>
      <c r="ES119" s="36">
        <f t="shared" si="430"/>
        <v>2</v>
      </c>
      <c r="ET119" s="36">
        <f>IF(ES119=99,99,(IF(EO118=EO119,ET118,(ES119))))</f>
        <v>2</v>
      </c>
      <c r="EU119" s="36">
        <f t="shared" ref="EU119:EU149" si="446">IF(ES119&gt;$EU$111,99,(VALUE(MID(EF119,EK119-2,2))))</f>
        <v>3</v>
      </c>
      <c r="EW119" s="323">
        <f t="shared" ref="EW119:EW149" si="447">(100+EU119)*100+ET119</f>
        <v>10302</v>
      </c>
      <c r="EX119" s="323"/>
      <c r="EZ119" s="323">
        <f t="shared" ref="EZ119:EZ149" si="448">IF(EM119&gt;32,(10000+($EU$149)*100+$ES$149),(SMALL($EW$118:$EX$149,EM119)))</f>
        <v>10206</v>
      </c>
      <c r="FA119" s="323"/>
      <c r="FC119" s="36">
        <f t="shared" ref="FC119:FC149" si="449">LEN(EZ119)</f>
        <v>5</v>
      </c>
      <c r="FF119" s="36">
        <f t="shared" ref="FF119:FF149" si="450">VALUE(MID(EZ119,2,2))</f>
        <v>2</v>
      </c>
      <c r="FG119" s="36">
        <f>(VALUE(MID(EZ119,FC119-1,2)))</f>
        <v>6</v>
      </c>
      <c r="FI119" s="36">
        <f t="shared" ref="FI119:FI149" si="451">DP119</f>
        <v>2</v>
      </c>
      <c r="FJ119" s="36" t="str">
        <f>IF(AD9="","",$FJ$115)</f>
        <v/>
      </c>
      <c r="FK119" s="36">
        <f t="shared" ref="FK119:FK149" si="452">IF(FI119=$FF$118,$FG$118,IF(FI119=$FF$119,$FG$119,IF(FI119=$FF$120,$FG$120,IF(FI119=$FF$121,$FG$121,IF(FI119=$FF$122,$FG$122,IF(FI119=$FF$123,$FG$123,IF(FI119=$FF$124,$FG$124,IF(FI119=$FF$125,$FG$125,""))))))))</f>
        <v>6</v>
      </c>
      <c r="FL119" s="36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36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36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P119" s="36">
        <f>SUM(FK119:FN119)</f>
        <v>6</v>
      </c>
      <c r="FQ119" s="36">
        <f t="shared" ref="FQ119:FQ149" si="456">IF(FJ119="",(IF($FN$114=1,(IF(FP119=0,"",FP119)),"")),FJ119)</f>
        <v>6</v>
      </c>
      <c r="FS119" s="36">
        <v>2</v>
      </c>
      <c r="FU119" s="138"/>
      <c r="FW119" s="149"/>
      <c r="GC119" s="36" t="str">
        <f>IF(GC118=0,"",GC118)</f>
        <v/>
      </c>
      <c r="GD119" s="36" t="str">
        <f t="shared" ref="GD119:GJ119" si="457">IF(GD118=0,"",GD118)</f>
        <v/>
      </c>
      <c r="GE119" s="36" t="str">
        <f t="shared" si="457"/>
        <v/>
      </c>
      <c r="GF119" s="36" t="str">
        <f t="shared" si="457"/>
        <v/>
      </c>
      <c r="GG119" s="36" t="str">
        <f t="shared" si="457"/>
        <v/>
      </c>
      <c r="GH119" s="36" t="str">
        <f t="shared" si="457"/>
        <v/>
      </c>
      <c r="GI119" s="36" t="str">
        <f t="shared" si="457"/>
        <v/>
      </c>
      <c r="GJ119" s="36" t="str">
        <f t="shared" si="457"/>
        <v/>
      </c>
      <c r="GO119" s="36" t="str">
        <f t="shared" ref="GO119:GV119" si="458">IF(GO118=0,"",GO118)</f>
        <v/>
      </c>
      <c r="GP119" s="36" t="str">
        <f t="shared" si="458"/>
        <v/>
      </c>
      <c r="GQ119" s="36" t="str">
        <f t="shared" si="458"/>
        <v/>
      </c>
      <c r="GR119" s="36" t="str">
        <f t="shared" si="458"/>
        <v/>
      </c>
      <c r="GS119" s="36" t="str">
        <f t="shared" si="458"/>
        <v/>
      </c>
      <c r="GT119" s="36" t="str">
        <f t="shared" si="458"/>
        <v/>
      </c>
      <c r="GU119" s="36" t="str">
        <f t="shared" si="458"/>
        <v/>
      </c>
      <c r="GV119" s="36" t="str">
        <f t="shared" si="458"/>
        <v/>
      </c>
      <c r="GY119" s="183"/>
      <c r="GZ119" s="122"/>
      <c r="HC119" s="177"/>
      <c r="HD119" s="122"/>
      <c r="HF119" s="153"/>
    </row>
    <row r="120" spans="1:214" ht="12.75" hidden="1" customHeight="1" x14ac:dyDescent="0.25">
      <c r="A120" s="74"/>
      <c r="D120" s="37"/>
      <c r="F120" s="36">
        <f>IF(E35=$BQ$2,1,(IF(E35="",1,(IF(F36="",0,1)))))</f>
        <v>1</v>
      </c>
      <c r="I120" s="36">
        <f>IF(H35=$BQ$2,1,(IF(H35="",1,(IF(I36="",0,1)))))</f>
        <v>1</v>
      </c>
      <c r="L120" s="36">
        <f>IF(K35=$BQ$2,1,(IF(K35="",1,(IF(L36="",0,1)))))</f>
        <v>1</v>
      </c>
      <c r="O120" s="36">
        <f>IF(N35=$BQ$2,1,(IF(N35="",1,(IF(O36="",0,1)))))</f>
        <v>1</v>
      </c>
      <c r="R120" s="36">
        <f>IF(Q35=$BQ$2,1,(IF(Q35="",1,(IF(R36="",0,1)))))</f>
        <v>1</v>
      </c>
      <c r="U120" s="36">
        <f>IF(T35=$BQ$2,1,(IF(T35="",1,(IF(U36="",0,1)))))</f>
        <v>1</v>
      </c>
      <c r="X120" s="36">
        <f>IF(W35=$BQ$2,1,(IF(W35="",1,(IF(X36="",0,1)))))</f>
        <v>1</v>
      </c>
      <c r="AF120" s="83">
        <f t="shared" si="414"/>
        <v>32</v>
      </c>
      <c r="AG120" s="36"/>
      <c r="AH120" s="36" t="str">
        <f t="shared" si="421"/>
        <v/>
      </c>
      <c r="AI120" s="36">
        <f t="shared" si="421"/>
        <v>0</v>
      </c>
      <c r="AJ120" s="36" t="str">
        <f t="shared" si="421"/>
        <v/>
      </c>
      <c r="AM120" s="36" t="str">
        <f t="shared" si="422"/>
        <v/>
      </c>
      <c r="AN120" s="36">
        <f t="shared" si="422"/>
        <v>0</v>
      </c>
      <c r="AO120" s="36" t="str">
        <f t="shared" si="422"/>
        <v/>
      </c>
      <c r="AR120" s="36">
        <f t="shared" si="423"/>
        <v>0</v>
      </c>
      <c r="AS120" s="36">
        <f t="shared" si="423"/>
        <v>0</v>
      </c>
      <c r="AT120" s="36">
        <f t="shared" si="423"/>
        <v>0</v>
      </c>
      <c r="AW120" s="36">
        <f t="shared" si="424"/>
        <v>0</v>
      </c>
      <c r="AX120" s="36">
        <f t="shared" si="424"/>
        <v>0</v>
      </c>
      <c r="AY120" s="36">
        <f t="shared" si="424"/>
        <v>0</v>
      </c>
      <c r="BB120" s="36">
        <f t="shared" si="425"/>
        <v>0</v>
      </c>
      <c r="BC120" s="36">
        <f t="shared" si="425"/>
        <v>0</v>
      </c>
      <c r="BD120" s="36">
        <f t="shared" si="425"/>
        <v>0</v>
      </c>
      <c r="BT120" s="36">
        <f t="shared" ref="BT120:BT149" si="459">BT119+1</f>
        <v>3</v>
      </c>
      <c r="BU120" s="138">
        <v>3</v>
      </c>
      <c r="BV120" s="36">
        <v>3</v>
      </c>
      <c r="BW120" s="36">
        <v>3</v>
      </c>
      <c r="BX120" s="36">
        <v>3</v>
      </c>
      <c r="BY120" s="36">
        <v>3</v>
      </c>
      <c r="BZ120" s="36">
        <v>3</v>
      </c>
      <c r="CA120" s="36">
        <v>3</v>
      </c>
      <c r="CB120" s="36">
        <v>3</v>
      </c>
      <c r="CC120" s="36">
        <v>3</v>
      </c>
      <c r="CD120" s="36">
        <v>3</v>
      </c>
      <c r="CE120" s="36">
        <v>3</v>
      </c>
      <c r="CF120" s="36">
        <v>3</v>
      </c>
      <c r="CG120" s="36">
        <v>3</v>
      </c>
      <c r="CH120" s="36">
        <v>3</v>
      </c>
      <c r="CI120" s="36">
        <v>3</v>
      </c>
      <c r="CJ120" s="36">
        <v>3</v>
      </c>
      <c r="CK120" s="36">
        <v>3</v>
      </c>
      <c r="CL120" s="36">
        <v>3</v>
      </c>
      <c r="CM120" s="36">
        <v>3</v>
      </c>
      <c r="CN120" s="36">
        <v>3</v>
      </c>
      <c r="CO120" s="36">
        <v>3</v>
      </c>
      <c r="CP120" s="36">
        <v>3</v>
      </c>
      <c r="CQ120" s="36">
        <v>3</v>
      </c>
      <c r="CR120" s="36">
        <v>3</v>
      </c>
      <c r="CS120" s="36">
        <v>3</v>
      </c>
      <c r="CT120" s="36">
        <v>3</v>
      </c>
      <c r="CU120" s="149">
        <v>3</v>
      </c>
      <c r="DM120" s="203">
        <f>'Tabulka finále'!CF35</f>
        <v>1</v>
      </c>
      <c r="DN120" s="173">
        <f>'Tabulka finále'!CG35</f>
        <v>3</v>
      </c>
      <c r="DP120" s="36">
        <f t="shared" si="433"/>
        <v>3</v>
      </c>
      <c r="DR120" s="138">
        <f t="shared" si="434"/>
        <v>2</v>
      </c>
      <c r="DS120" s="36">
        <f t="shared" si="435"/>
        <v>3</v>
      </c>
      <c r="DU120" s="296">
        <f t="shared" si="436"/>
        <v>70000000003.031006</v>
      </c>
      <c r="DV120" s="296"/>
      <c r="DW120" s="296"/>
      <c r="DX120" s="296">
        <f t="shared" si="437"/>
        <v>40070810096.030998</v>
      </c>
      <c r="DY120" s="296"/>
      <c r="DZ120" s="296"/>
      <c r="EA120" s="53">
        <f t="shared" si="438"/>
        <v>15</v>
      </c>
      <c r="EB120" s="296">
        <f t="shared" si="439"/>
        <v>70000000003.031006</v>
      </c>
      <c r="EC120" s="296"/>
      <c r="ED120" s="296"/>
      <c r="EF120" s="296">
        <f t="shared" si="440"/>
        <v>60000000001.011002</v>
      </c>
      <c r="EG120" s="296"/>
      <c r="EH120" s="296"/>
      <c r="EI120" s="36">
        <f t="shared" si="429"/>
        <v>6</v>
      </c>
      <c r="EJ120" s="36">
        <f t="shared" si="441"/>
        <v>1</v>
      </c>
      <c r="EK120" s="36">
        <f t="shared" si="442"/>
        <v>15</v>
      </c>
      <c r="EL120" s="36">
        <f>IF(EI120=EI119,1,0)</f>
        <v>0</v>
      </c>
      <c r="EM120" s="36">
        <f t="shared" si="443"/>
        <v>3</v>
      </c>
      <c r="EN120" s="149">
        <f>IF(EJ120=0,EM120,(IF(EL120=0,EM120,EN119)))</f>
        <v>3</v>
      </c>
      <c r="EO120" s="398">
        <f t="shared" si="444"/>
        <v>60000000.001000002</v>
      </c>
      <c r="EP120" s="399"/>
      <c r="EQ120" s="53">
        <f t="shared" ref="EQ120:EQ149" si="460">VALUE(MID(EF120,EK120-5,2))</f>
        <v>1</v>
      </c>
      <c r="ER120" s="36">
        <f t="shared" si="445"/>
        <v>12</v>
      </c>
      <c r="ES120" s="36">
        <f t="shared" si="430"/>
        <v>3</v>
      </c>
      <c r="ET120" s="36">
        <f t="shared" ref="ET120:ET149" si="461">IF(ES120=99,99,(IF(EO119=EO120,ET119,(ES120))))</f>
        <v>3</v>
      </c>
      <c r="EU120" s="36">
        <f t="shared" si="446"/>
        <v>1</v>
      </c>
      <c r="EW120" s="323">
        <f t="shared" si="447"/>
        <v>10103</v>
      </c>
      <c r="EX120" s="323"/>
      <c r="EZ120" s="323">
        <f t="shared" si="448"/>
        <v>10302</v>
      </c>
      <c r="FA120" s="323"/>
      <c r="FC120" s="36">
        <f t="shared" si="449"/>
        <v>5</v>
      </c>
      <c r="FF120" s="36">
        <f>VALUE(MID(EZ120,2,2))</f>
        <v>3</v>
      </c>
      <c r="FG120" s="36">
        <f>(VALUE(MID(EZ120,FC120-1,2)))</f>
        <v>2</v>
      </c>
      <c r="FI120" s="36">
        <f t="shared" si="451"/>
        <v>3</v>
      </c>
      <c r="FJ120" s="36" t="str">
        <f>IF(AD11="","",$FJ$115)</f>
        <v/>
      </c>
      <c r="FK120" s="36">
        <f>IF(FI120=$FF$118,$FG$118,IF(FI120=$FF$119,$FG$119,IF(FI120=$FF$120,$FG$120,IF(FI120=$FF$121,$FG$121,IF(FI120=$FF$122,$FG$122,IF(FI120=$FF$123,$FG$123,IF(FI120=$FF$124,$FG$124,IF(FI120=$FF$125,$FG$125,""))))))))</f>
        <v>2</v>
      </c>
      <c r="FL120" s="36" t="str">
        <f t="shared" si="453"/>
        <v/>
      </c>
      <c r="FM120" s="36" t="str">
        <f t="shared" si="454"/>
        <v/>
      </c>
      <c r="FN120" s="36" t="str">
        <f t="shared" si="455"/>
        <v/>
      </c>
      <c r="FP120" s="36">
        <f>SUM(FK120:FN120)</f>
        <v>2</v>
      </c>
      <c r="FQ120" s="36">
        <f>IF(FJ120="",(IF($FN$114=1,(IF(FP120=0,"",FP120)),"")),FJ120)</f>
        <v>2</v>
      </c>
      <c r="FS120" s="36">
        <v>3</v>
      </c>
      <c r="FU120" s="138">
        <f>FU118+1</f>
        <v>2</v>
      </c>
      <c r="FW120" s="149">
        <f>FQ119</f>
        <v>6</v>
      </c>
      <c r="GC120" s="170" t="str">
        <f>IF(GC119=0,IF(GC119="","",GC119),GC119)</f>
        <v/>
      </c>
      <c r="GD120" s="191" t="str">
        <f t="shared" ref="GD120:GJ120" si="462">IF(GD119=0,IF(GD119="","",GD119),GD119)</f>
        <v/>
      </c>
      <c r="GE120" s="191" t="str">
        <f t="shared" si="462"/>
        <v/>
      </c>
      <c r="GF120" s="191" t="str">
        <f t="shared" si="462"/>
        <v/>
      </c>
      <c r="GG120" s="191" t="str">
        <f t="shared" si="462"/>
        <v/>
      </c>
      <c r="GH120" s="191" t="str">
        <f t="shared" si="462"/>
        <v/>
      </c>
      <c r="GI120" s="191" t="str">
        <f t="shared" si="462"/>
        <v/>
      </c>
      <c r="GJ120" s="171" t="str">
        <f t="shared" si="462"/>
        <v/>
      </c>
      <c r="GO120" s="170" t="str">
        <f t="shared" ref="GO120:GV120" si="463">IF(GO119=0,IF(GO119="","",GO119),GO119)</f>
        <v/>
      </c>
      <c r="GP120" s="191" t="str">
        <f t="shared" si="463"/>
        <v/>
      </c>
      <c r="GQ120" s="191" t="str">
        <f t="shared" si="463"/>
        <v/>
      </c>
      <c r="GR120" s="191" t="str">
        <f t="shared" si="463"/>
        <v/>
      </c>
      <c r="GS120" s="191" t="str">
        <f t="shared" si="463"/>
        <v/>
      </c>
      <c r="GT120" s="191" t="str">
        <f t="shared" si="463"/>
        <v/>
      </c>
      <c r="GU120" s="191" t="str">
        <f t="shared" si="463"/>
        <v/>
      </c>
      <c r="GV120" s="171" t="str">
        <f t="shared" si="463"/>
        <v/>
      </c>
      <c r="GY120" s="183"/>
      <c r="GZ120" s="122"/>
      <c r="HC120" s="177" t="str">
        <f>GY100</f>
        <v/>
      </c>
      <c r="HD120" s="122">
        <f>HD118+1</f>
        <v>21</v>
      </c>
      <c r="HF120" s="153" t="str">
        <f>HB100</f>
        <v/>
      </c>
    </row>
    <row r="121" spans="1:214" ht="12.75" hidden="1" customHeight="1" x14ac:dyDescent="0.25">
      <c r="A121" s="74"/>
      <c r="D121" s="37">
        <v>16</v>
      </c>
      <c r="F121" s="36">
        <f>IF(E37=$BQ$2,1,(IF(E37="",1,(IF(F37="",0,1)))))</f>
        <v>1</v>
      </c>
      <c r="I121" s="36">
        <f>IF(H37=$BQ$2,1,(IF(H37="",1,(IF(I37="",0,1)))))</f>
        <v>1</v>
      </c>
      <c r="L121" s="36">
        <f>IF(K37=$BQ$2,1,(IF(K37="",1,(IF(L37="",0,1)))))</f>
        <v>1</v>
      </c>
      <c r="O121" s="36">
        <f>IF(N37=$BQ$2,1,(IF(N37="",1,(IF(O37="",0,1)))))</f>
        <v>1</v>
      </c>
      <c r="R121" s="36">
        <f>IF(Q37=$BQ$2,1,(IF(Q37="",1,(IF(R37="",0,1)))))</f>
        <v>1</v>
      </c>
      <c r="U121" s="36">
        <f>IF(T37=$BQ$2,1,(IF(T37="",1,(IF(U37="",0,1)))))</f>
        <v>1</v>
      </c>
      <c r="X121" s="36">
        <f>IF(W37=$BQ$2,1,(IF(W37="",1,(IF(X37="",0,1)))))</f>
        <v>1</v>
      </c>
      <c r="AF121" s="186"/>
      <c r="BT121" s="36">
        <f t="shared" si="459"/>
        <v>4</v>
      </c>
      <c r="BU121" s="138">
        <v>4</v>
      </c>
      <c r="BV121" s="36">
        <v>4</v>
      </c>
      <c r="BW121" s="36">
        <v>4</v>
      </c>
      <c r="BX121" s="36">
        <v>4</v>
      </c>
      <c r="BY121" s="36">
        <v>4</v>
      </c>
      <c r="BZ121" s="36">
        <v>4</v>
      </c>
      <c r="CA121" s="36">
        <v>4</v>
      </c>
      <c r="CB121" s="36">
        <v>4</v>
      </c>
      <c r="CC121" s="36">
        <v>4</v>
      </c>
      <c r="CD121" s="36">
        <v>4</v>
      </c>
      <c r="CE121" s="36">
        <v>4</v>
      </c>
      <c r="CF121" s="36">
        <v>4</v>
      </c>
      <c r="CG121" s="36">
        <v>4</v>
      </c>
      <c r="CH121" s="36">
        <v>4</v>
      </c>
      <c r="CI121" s="36">
        <v>4</v>
      </c>
      <c r="CJ121" s="36">
        <v>4</v>
      </c>
      <c r="CK121" s="36">
        <v>4</v>
      </c>
      <c r="CL121" s="36">
        <v>4</v>
      </c>
      <c r="CM121" s="36">
        <v>4</v>
      </c>
      <c r="CN121" s="36">
        <v>4</v>
      </c>
      <c r="CO121" s="36">
        <v>4</v>
      </c>
      <c r="CP121" s="36">
        <v>4</v>
      </c>
      <c r="CQ121" s="36">
        <v>4</v>
      </c>
      <c r="CR121" s="36">
        <v>4</v>
      </c>
      <c r="CS121" s="36">
        <v>4</v>
      </c>
      <c r="CT121" s="36">
        <v>4</v>
      </c>
      <c r="CU121" s="149"/>
      <c r="DM121" s="203">
        <f>'Tabulka finále'!CF36</f>
        <v>5</v>
      </c>
      <c r="DN121" s="173">
        <f>'Tabulka finále'!CG36</f>
        <v>4</v>
      </c>
      <c r="DP121" s="36">
        <f t="shared" si="433"/>
        <v>0</v>
      </c>
      <c r="DR121" s="138" t="str">
        <f>IF(DP121=$DM$118,$DN$118,IF(DP121=$DM$119,$DN$119,IF(DP121=$DM$120,$DN$120,IF(DP121=$DM$121,$DN$121,IF(DP121=$DM$122,$DN$122,IF(DP121=$DM$123,$DN$123,""))))))</f>
        <v/>
      </c>
      <c r="DS121" s="36" t="str">
        <f t="shared" si="435"/>
        <v/>
      </c>
      <c r="DU121" s="296">
        <f t="shared" si="436"/>
        <v>0</v>
      </c>
      <c r="DV121" s="296"/>
      <c r="DW121" s="296"/>
      <c r="DX121" s="296">
        <f t="shared" si="437"/>
        <v>10000000000.000999</v>
      </c>
      <c r="DY121" s="296"/>
      <c r="DZ121" s="296"/>
      <c r="EA121" s="53">
        <f t="shared" si="438"/>
        <v>15</v>
      </c>
      <c r="EB121" s="296">
        <f t="shared" si="439"/>
        <v>10000000000.000999</v>
      </c>
      <c r="EC121" s="296"/>
      <c r="ED121" s="296"/>
      <c r="EF121" s="296">
        <f>LARGE($EB$118:$ED$149,BT121)</f>
        <v>50000000005.051003</v>
      </c>
      <c r="EG121" s="296"/>
      <c r="EH121" s="296"/>
      <c r="EI121" s="36">
        <f t="shared" si="429"/>
        <v>5</v>
      </c>
      <c r="EJ121" s="36">
        <f t="shared" si="441"/>
        <v>5</v>
      </c>
      <c r="EK121" s="36">
        <f t="shared" si="442"/>
        <v>15</v>
      </c>
      <c r="EL121" s="36">
        <f>IF(EI121=EI120,1,0)</f>
        <v>0</v>
      </c>
      <c r="EM121" s="36">
        <f t="shared" si="443"/>
        <v>4</v>
      </c>
      <c r="EN121" s="149">
        <f>IF(EJ121=0,EM121,(IF(EL121=0,EM121,EN120)))</f>
        <v>4</v>
      </c>
      <c r="EO121" s="398">
        <f t="shared" si="444"/>
        <v>50000000.005000003</v>
      </c>
      <c r="EP121" s="399"/>
      <c r="EQ121" s="53">
        <f t="shared" si="460"/>
        <v>5</v>
      </c>
      <c r="ER121" s="36">
        <f t="shared" si="445"/>
        <v>12</v>
      </c>
      <c r="ES121" s="36">
        <f>IF(EN121&gt;$EU$111,99,(EN121))</f>
        <v>4</v>
      </c>
      <c r="ET121" s="36">
        <f t="shared" si="461"/>
        <v>4</v>
      </c>
      <c r="EU121" s="36">
        <f t="shared" si="446"/>
        <v>5</v>
      </c>
      <c r="EW121" s="323">
        <f t="shared" si="447"/>
        <v>10504</v>
      </c>
      <c r="EX121" s="323"/>
      <c r="EZ121" s="323">
        <f t="shared" si="448"/>
        <v>10405</v>
      </c>
      <c r="FA121" s="323"/>
      <c r="FC121" s="36">
        <f t="shared" si="449"/>
        <v>5</v>
      </c>
      <c r="FF121" s="36">
        <f t="shared" si="450"/>
        <v>4</v>
      </c>
      <c r="FG121" s="36">
        <f t="shared" ref="FG121:FG149" si="464">(VALUE(MID(EZ121,FC121-1,2)))</f>
        <v>5</v>
      </c>
      <c r="FI121" s="36">
        <f t="shared" si="451"/>
        <v>0</v>
      </c>
      <c r="FJ121" s="36" t="str">
        <f>IF(AD13="","",$FJ$115)</f>
        <v/>
      </c>
      <c r="FK121" s="36" t="str">
        <f t="shared" si="452"/>
        <v/>
      </c>
      <c r="FL121" s="36" t="str">
        <f t="shared" si="453"/>
        <v/>
      </c>
      <c r="FM121" s="36" t="str">
        <f t="shared" si="454"/>
        <v/>
      </c>
      <c r="FN121" s="36" t="str">
        <f t="shared" si="455"/>
        <v/>
      </c>
      <c r="FP121" s="36">
        <f t="shared" ref="FP121:FP149" si="465">SUM(FK121:FN121)</f>
        <v>0</v>
      </c>
      <c r="FQ121" s="36" t="str">
        <f t="shared" si="456"/>
        <v/>
      </c>
      <c r="FS121" s="36">
        <v>4</v>
      </c>
      <c r="FU121" s="138"/>
      <c r="FW121" s="149"/>
      <c r="GC121" s="36" t="str">
        <f>IF(GC120="",$GC$123,GC120)</f>
        <v>xxx</v>
      </c>
      <c r="GD121" s="36" t="str">
        <f>IF(GD120="",$GC$123,GD120)</f>
        <v>xxx</v>
      </c>
      <c r="GF121" s="36" t="str">
        <f>IF(GF120="",$GC$123,GF120)</f>
        <v>xxx</v>
      </c>
      <c r="GG121" s="36" t="str">
        <f>IF(GG120="",$GC$123,GG120)</f>
        <v>xxx</v>
      </c>
      <c r="GI121" s="36" t="str">
        <f>IF(GI120="",$GC$123,GI120)</f>
        <v>xxx</v>
      </c>
      <c r="GJ121" s="36" t="str">
        <f>IF(GJ120="",$GC$123,GJ120)</f>
        <v>xxx</v>
      </c>
      <c r="GO121" s="36" t="str">
        <f>IF(GO120="",$GC$123,GO120)</f>
        <v>xxx</v>
      </c>
      <c r="GP121" s="36" t="str">
        <f>IF(GP120="",$GC$123,GP120)</f>
        <v>xxx</v>
      </c>
      <c r="GR121" s="36" t="str">
        <f>IF(GR120="",$GC$123,GR120)</f>
        <v>xxx</v>
      </c>
      <c r="GS121" s="36" t="str">
        <f>IF(GS120="",$GC$123,GS120)</f>
        <v>xxx</v>
      </c>
      <c r="GU121" s="36" t="str">
        <f>IF(GU120="",$GC$123,GU120)</f>
        <v>xxx</v>
      </c>
      <c r="GV121" s="36" t="str">
        <f>IF(GV120="",$GC$123,GV120)</f>
        <v>xxx</v>
      </c>
      <c r="GY121" s="183"/>
      <c r="GZ121" s="122"/>
      <c r="HC121" s="177"/>
      <c r="HD121" s="122"/>
      <c r="HF121" s="153"/>
    </row>
    <row r="122" spans="1:214" ht="12.75" hidden="1" customHeight="1" x14ac:dyDescent="0.25">
      <c r="A122" s="74"/>
      <c r="D122" s="37"/>
      <c r="F122" s="36">
        <f>IF(E37=$BQ$2,1,(IF(E37="",1,(IF(F38="",0,1)))))</f>
        <v>1</v>
      </c>
      <c r="I122" s="36">
        <f>IF(H37=$BQ$2,1,(IF(H37="",1,(IF(I38="",0,1)))))</f>
        <v>1</v>
      </c>
      <c r="L122" s="36">
        <f>IF(K37=$BQ$2,1,(IF(K37="",1,(IF(L38="",0,1)))))</f>
        <v>1</v>
      </c>
      <c r="O122" s="36">
        <f>IF(N37=$BQ$2,1,(IF(N37="",1,(IF(O38="",0,1)))))</f>
        <v>1</v>
      </c>
      <c r="R122" s="36">
        <f>IF(Q37=$BQ$2,1,(IF(Q37="",1,(IF(R38="",0,1)))))</f>
        <v>1</v>
      </c>
      <c r="U122" s="36">
        <f>IF(T37=$BQ$2,1,(IF(T37="",1,(IF(U38="",0,1)))))</f>
        <v>1</v>
      </c>
      <c r="X122" s="36">
        <f>IF(W37=$BQ$2,1,(IF(W37="",1,(IF(X38="",0,1)))))</f>
        <v>1</v>
      </c>
      <c r="AF122" s="36">
        <f>AF89</f>
        <v>1</v>
      </c>
      <c r="AG122" s="36"/>
      <c r="AH122" s="36">
        <f>IF(AI89=0,$AF$85,$AF89)</f>
        <v>1</v>
      </c>
      <c r="AI122" s="36">
        <f>SMALL(AH$122:AH$153,$AF122)</f>
        <v>1</v>
      </c>
      <c r="AM122" s="36">
        <f>IF(AN89=0,$AF$85,$AF89)</f>
        <v>999</v>
      </c>
      <c r="AN122" s="36">
        <f>SMALL(AM$122:AM$153,$AF122)</f>
        <v>999</v>
      </c>
      <c r="AR122" s="36">
        <f>IF(AS89=0,$AF$85,$AF89)</f>
        <v>999</v>
      </c>
      <c r="AS122" s="36">
        <f>SMALL(AR$122:AR$153,$AF122)</f>
        <v>999</v>
      </c>
      <c r="AW122" s="36">
        <f>IF(AX89=0,$AF$85,$AF89)</f>
        <v>999</v>
      </c>
      <c r="AX122" s="36">
        <f>SMALL(AW$122:AW$153,$AF122)</f>
        <v>999</v>
      </c>
      <c r="BB122" s="36">
        <f>IF(BC89=0,$AF$85,$AF89)</f>
        <v>999</v>
      </c>
      <c r="BC122" s="36">
        <f>SMALL(BB$122:BB$153,$AF122)</f>
        <v>999</v>
      </c>
      <c r="BT122" s="36">
        <f t="shared" si="459"/>
        <v>5</v>
      </c>
      <c r="BU122" s="138">
        <v>5</v>
      </c>
      <c r="BV122" s="36">
        <v>5</v>
      </c>
      <c r="BW122" s="36">
        <v>5</v>
      </c>
      <c r="BX122" s="36">
        <v>5</v>
      </c>
      <c r="BY122" s="36">
        <v>5</v>
      </c>
      <c r="BZ122" s="36">
        <v>5</v>
      </c>
      <c r="CA122" s="36">
        <v>5</v>
      </c>
      <c r="CB122" s="36">
        <v>5</v>
      </c>
      <c r="CC122" s="36">
        <v>5</v>
      </c>
      <c r="CD122" s="36">
        <v>5</v>
      </c>
      <c r="CE122" s="36">
        <v>5</v>
      </c>
      <c r="CF122" s="36">
        <v>5</v>
      </c>
      <c r="CG122" s="36">
        <v>5</v>
      </c>
      <c r="CH122" s="36">
        <v>5</v>
      </c>
      <c r="CI122" s="36">
        <v>5</v>
      </c>
      <c r="CJ122" s="36">
        <v>5</v>
      </c>
      <c r="CK122" s="36">
        <v>5</v>
      </c>
      <c r="CL122" s="36">
        <v>5</v>
      </c>
      <c r="CM122" s="36">
        <v>5</v>
      </c>
      <c r="CN122" s="36">
        <v>5</v>
      </c>
      <c r="CO122" s="36">
        <v>5</v>
      </c>
      <c r="CP122" s="36">
        <v>5</v>
      </c>
      <c r="CQ122" s="36">
        <v>5</v>
      </c>
      <c r="CR122" s="36">
        <v>5</v>
      </c>
      <c r="CU122" s="149"/>
      <c r="DM122" s="203">
        <f>'Tabulka finále'!CF37</f>
        <v>3</v>
      </c>
      <c r="DN122" s="173">
        <f>'Tabulka finále'!CG37</f>
        <v>2</v>
      </c>
      <c r="DP122" s="36">
        <f t="shared" si="433"/>
        <v>0</v>
      </c>
      <c r="DR122" s="138" t="str">
        <f>IF(DP122=$DM$118,$DN$118,IF(DP122=$DM$119,$DN$119,IF(DP122=$DM$120,$DN$120,IF(DP122=$DM$121,$DN$121,IF(DP122=$DM$122,$DN$122,IF(DP122=$DM$123,$DN$123,""))))))</f>
        <v/>
      </c>
      <c r="DS122" s="36" t="str">
        <f t="shared" si="435"/>
        <v/>
      </c>
      <c r="DU122" s="296">
        <f t="shared" si="436"/>
        <v>0</v>
      </c>
      <c r="DV122" s="296"/>
      <c r="DW122" s="296"/>
      <c r="DX122" s="296">
        <f t="shared" si="437"/>
        <v>10000000000.000999</v>
      </c>
      <c r="DY122" s="296"/>
      <c r="DZ122" s="296"/>
      <c r="EA122" s="53">
        <f t="shared" si="438"/>
        <v>15</v>
      </c>
      <c r="EB122" s="296">
        <f t="shared" si="439"/>
        <v>10000000000.000999</v>
      </c>
      <c r="EC122" s="296"/>
      <c r="ED122" s="296"/>
      <c r="EF122" s="296">
        <f>LARGE($EB$118:$ED$149,BT122)</f>
        <v>29050400095.041</v>
      </c>
      <c r="EG122" s="296"/>
      <c r="EH122" s="296"/>
      <c r="EI122" s="36">
        <f t="shared" si="429"/>
        <v>2</v>
      </c>
      <c r="EJ122" s="36">
        <f t="shared" si="441"/>
        <v>95</v>
      </c>
      <c r="EK122" s="36">
        <f t="shared" si="442"/>
        <v>15</v>
      </c>
      <c r="EL122" s="36">
        <f>IF(EI122=EI121,1,0)</f>
        <v>0</v>
      </c>
      <c r="EM122" s="36">
        <f t="shared" si="443"/>
        <v>5</v>
      </c>
      <c r="EN122" s="149">
        <f>IF('Tabulka finále'!$BM$35=0,EM122,(IF(EJ122=0,EM122,(IF(EL122=0,EM122,EN121)))))</f>
        <v>5</v>
      </c>
      <c r="EO122" s="398">
        <f t="shared" si="444"/>
        <v>29050400.094999999</v>
      </c>
      <c r="EP122" s="399"/>
      <c r="EQ122" s="53">
        <f t="shared" si="460"/>
        <v>95</v>
      </c>
      <c r="ER122" s="36">
        <f t="shared" si="445"/>
        <v>12</v>
      </c>
      <c r="ES122" s="36">
        <f>IF(EN122&gt;$EU$111,99,(EN122))</f>
        <v>5</v>
      </c>
      <c r="ET122" s="36">
        <f t="shared" si="461"/>
        <v>5</v>
      </c>
      <c r="EU122" s="36">
        <f t="shared" si="446"/>
        <v>4</v>
      </c>
      <c r="EW122" s="323">
        <f>(100+EU122)*100+ET122</f>
        <v>10405</v>
      </c>
      <c r="EX122" s="323"/>
      <c r="EZ122" s="323">
        <f>IF(EM122&gt;32,(10000+($EU$149)*100+$ES$149),(SMALL($EW$118:$EX$149,EM122)))</f>
        <v>10504</v>
      </c>
      <c r="FA122" s="323"/>
      <c r="FC122" s="36">
        <f t="shared" si="449"/>
        <v>5</v>
      </c>
      <c r="FF122" s="36">
        <f>VALUE(MID(EZ122,2,2))</f>
        <v>5</v>
      </c>
      <c r="FG122" s="36">
        <f>(VALUE(MID(EZ122,FC122-1,2)))</f>
        <v>4</v>
      </c>
      <c r="FI122" s="36">
        <f t="shared" si="451"/>
        <v>0</v>
      </c>
      <c r="FJ122" s="36" t="str">
        <f>IF(AD15="","",$FJ$115)</f>
        <v/>
      </c>
      <c r="FK122" s="36" t="str">
        <f>IF(FI122=$FF$118,$FG$118,IF(FI122=$FF$119,$FG$119,IF(FI122=$FF$120,$FG$120,IF(FI122=$FF$121,$FG$121,IF(FI122=$FF$122,$FG$122,IF(FI122=$FF$123,$FG$123,IF(FI122=$FF$124,$FG$124,IF(FI122=$FF$125,$FG$125,""))))))))</f>
        <v/>
      </c>
      <c r="FL122" s="36" t="str">
        <f t="shared" si="453"/>
        <v/>
      </c>
      <c r="FM122" s="36" t="str">
        <f t="shared" si="454"/>
        <v/>
      </c>
      <c r="FN122" s="36" t="str">
        <f t="shared" si="455"/>
        <v/>
      </c>
      <c r="FP122" s="36">
        <f>SUM(FK122:FN122)</f>
        <v>0</v>
      </c>
      <c r="FQ122" s="36" t="str">
        <f t="shared" si="456"/>
        <v/>
      </c>
      <c r="FS122" s="36">
        <v>5</v>
      </c>
      <c r="FU122" s="138">
        <f>FU120+1</f>
        <v>3</v>
      </c>
      <c r="FW122" s="149">
        <f>FQ120</f>
        <v>2</v>
      </c>
      <c r="GY122" s="183"/>
      <c r="GZ122" s="122"/>
      <c r="HC122" s="177" t="str">
        <f>GY101</f>
        <v/>
      </c>
      <c r="HD122" s="122">
        <f>HD120+1</f>
        <v>22</v>
      </c>
      <c r="HF122" s="153" t="str">
        <f>HB101</f>
        <v/>
      </c>
    </row>
    <row r="123" spans="1:214" ht="13.5" hidden="1" customHeight="1" thickBot="1" x14ac:dyDescent="0.3">
      <c r="A123" s="74"/>
      <c r="D123" s="37">
        <v>17</v>
      </c>
      <c r="F123" s="36">
        <f>IF(E40=$BQ$2,1,(IF(E40="",1,(IF(F40="",0,1)))))</f>
        <v>1</v>
      </c>
      <c r="I123" s="36">
        <f>IF(H40=$BQ$2,1,(IF(H40="",1,(IF(I40="",0,1)))))</f>
        <v>1</v>
      </c>
      <c r="L123" s="36">
        <f>IF(K40=$BQ$2,1,(IF(K40="",1,(IF(L40="",0,1)))))</f>
        <v>1</v>
      </c>
      <c r="O123" s="36">
        <f>IF(N40=$BQ$2,1,(IF(N40="",1,(IF(O40="",0,1)))))</f>
        <v>1</v>
      </c>
      <c r="R123" s="36">
        <f>IF(Q40=$BQ$2,1,(IF(Q40="",1,(IF(R40="",0,1)))))</f>
        <v>1</v>
      </c>
      <c r="U123" s="36">
        <f>IF(T40=$BQ$2,1,(IF(T40="",1,(IF(U40="",0,1)))))</f>
        <v>1</v>
      </c>
      <c r="X123" s="36">
        <f>IF(W40=$BQ$2,1,(IF(W40="",1,(IF(X40="",0,1)))))</f>
        <v>1</v>
      </c>
      <c r="AF123" s="36">
        <f t="shared" ref="AF123:AF153" si="466">AF90</f>
        <v>2</v>
      </c>
      <c r="AG123" s="36"/>
      <c r="AH123" s="36">
        <f t="shared" ref="AH123:AH153" si="467">IF(AI90=0,$AF$85,$AF90)</f>
        <v>999</v>
      </c>
      <c r="AI123" s="36">
        <f t="shared" ref="AI123:AI153" si="468">SMALL(AH$122:AH$153,$AF123)</f>
        <v>17</v>
      </c>
      <c r="AM123" s="36">
        <f t="shared" ref="AM123:AM153" si="469">IF(AN90=0,$AF$85,$AF90)</f>
        <v>999</v>
      </c>
      <c r="AN123" s="36">
        <f t="shared" ref="AN123:AN153" si="470">SMALL(AM$122:AM$153,$AF123)</f>
        <v>999</v>
      </c>
      <c r="AR123" s="36">
        <f t="shared" ref="AR123:AR153" si="471">IF(AS90=0,$AF$85,$AF90)</f>
        <v>999</v>
      </c>
      <c r="AS123" s="36">
        <f t="shared" ref="AS123:AS153" si="472">SMALL(AR$122:AR$153,$AF123)</f>
        <v>999</v>
      </c>
      <c r="AW123" s="36">
        <f t="shared" ref="AW123:AW153" si="473">IF(AX90=0,$AF$85,$AF90)</f>
        <v>999</v>
      </c>
      <c r="AX123" s="36">
        <f t="shared" ref="AX123:AX153" si="474">SMALL(AW$122:AW$153,$AF123)</f>
        <v>999</v>
      </c>
      <c r="BB123" s="36">
        <f t="shared" ref="BB123:BB153" si="475">IF(BC90=0,$AF$85,$AF90)</f>
        <v>999</v>
      </c>
      <c r="BC123" s="36">
        <f t="shared" ref="BC123:BC153" si="476">SMALL(BB$122:BB$153,$AF123)</f>
        <v>999</v>
      </c>
      <c r="BT123" s="36">
        <f t="shared" si="459"/>
        <v>6</v>
      </c>
      <c r="BU123" s="138">
        <v>6</v>
      </c>
      <c r="BV123" s="36">
        <v>6</v>
      </c>
      <c r="BW123" s="36">
        <v>6</v>
      </c>
      <c r="BX123" s="36">
        <v>6</v>
      </c>
      <c r="BY123" s="36">
        <v>6</v>
      </c>
      <c r="BZ123" s="36">
        <v>6</v>
      </c>
      <c r="CA123" s="36">
        <v>6</v>
      </c>
      <c r="CB123" s="36">
        <v>6</v>
      </c>
      <c r="CC123" s="36">
        <v>6</v>
      </c>
      <c r="CD123" s="36">
        <v>6</v>
      </c>
      <c r="CE123" s="36">
        <v>6</v>
      </c>
      <c r="CF123" s="36">
        <v>6</v>
      </c>
      <c r="CG123" s="36">
        <v>6</v>
      </c>
      <c r="CH123" s="36">
        <v>6</v>
      </c>
      <c r="CI123" s="36">
        <v>6</v>
      </c>
      <c r="CJ123" s="36">
        <v>6</v>
      </c>
      <c r="CK123" s="36">
        <v>6</v>
      </c>
      <c r="CL123" s="36">
        <v>6</v>
      </c>
      <c r="CM123" s="36">
        <v>6</v>
      </c>
      <c r="CN123" s="36">
        <v>6</v>
      </c>
      <c r="CO123" s="36">
        <v>6</v>
      </c>
      <c r="CP123" s="36">
        <v>6</v>
      </c>
      <c r="CU123" s="149"/>
      <c r="DM123" s="204">
        <f>'Tabulka finále'!CF38</f>
        <v>6</v>
      </c>
      <c r="DN123" s="198">
        <f>'Tabulka finále'!CG38</f>
        <v>1</v>
      </c>
      <c r="DP123" s="36">
        <f t="shared" si="433"/>
        <v>0</v>
      </c>
      <c r="DR123" s="138" t="str">
        <f t="shared" si="434"/>
        <v/>
      </c>
      <c r="DS123" s="36" t="str">
        <f t="shared" si="435"/>
        <v/>
      </c>
      <c r="DU123" s="296">
        <f t="shared" si="436"/>
        <v>0</v>
      </c>
      <c r="DV123" s="296"/>
      <c r="DW123" s="296"/>
      <c r="DX123" s="296">
        <f t="shared" si="437"/>
        <v>10000000000.000999</v>
      </c>
      <c r="DY123" s="296"/>
      <c r="DZ123" s="296"/>
      <c r="EA123" s="53">
        <f t="shared" si="438"/>
        <v>15</v>
      </c>
      <c r="EB123" s="296">
        <f t="shared" si="439"/>
        <v>10000000000.000999</v>
      </c>
      <c r="EC123" s="296"/>
      <c r="ED123" s="296"/>
      <c r="EF123" s="296">
        <f t="shared" si="440"/>
        <v>29050000097.021</v>
      </c>
      <c r="EG123" s="296"/>
      <c r="EH123" s="296"/>
      <c r="EI123" s="36">
        <f t="shared" si="429"/>
        <v>2</v>
      </c>
      <c r="EJ123" s="36">
        <f t="shared" si="441"/>
        <v>97</v>
      </c>
      <c r="EK123" s="36">
        <f t="shared" si="442"/>
        <v>15</v>
      </c>
      <c r="EL123" s="36">
        <f>IF(EI123=EI122,1,0)</f>
        <v>1</v>
      </c>
      <c r="EM123" s="36">
        <f t="shared" si="443"/>
        <v>6</v>
      </c>
      <c r="EN123" s="149">
        <f>IF('Tabulka finále'!$BM$35=0,EM123,(IF(EJ123=0,EM123,(IF(EL123=0,EM123,EN122)))))</f>
        <v>6</v>
      </c>
      <c r="EO123" s="398">
        <f t="shared" si="444"/>
        <v>29050000.096999999</v>
      </c>
      <c r="EP123" s="399"/>
      <c r="EQ123" s="53">
        <f t="shared" si="460"/>
        <v>97</v>
      </c>
      <c r="ER123" s="36">
        <f t="shared" si="445"/>
        <v>12</v>
      </c>
      <c r="ES123" s="36">
        <f t="shared" si="430"/>
        <v>6</v>
      </c>
      <c r="ET123" s="36">
        <f>IF(ES123=99,99,(IF(EO122=EO123,ET122,(ES123))))</f>
        <v>6</v>
      </c>
      <c r="EU123" s="36">
        <f t="shared" si="446"/>
        <v>2</v>
      </c>
      <c r="EW123" s="323">
        <f>(100+EU123)*100+ET123</f>
        <v>10206</v>
      </c>
      <c r="EX123" s="323"/>
      <c r="EZ123" s="323">
        <f t="shared" si="448"/>
        <v>10601</v>
      </c>
      <c r="FA123" s="323"/>
      <c r="FC123" s="36">
        <f t="shared" si="449"/>
        <v>5</v>
      </c>
      <c r="FF123" s="36">
        <f>VALUE(MID(EZ123,2,2))</f>
        <v>6</v>
      </c>
      <c r="FG123" s="36">
        <f t="shared" si="464"/>
        <v>1</v>
      </c>
      <c r="FI123" s="36">
        <f t="shared" si="451"/>
        <v>0</v>
      </c>
      <c r="FJ123" s="36" t="str">
        <f>IF(AD17="","",$FJ$115)</f>
        <v/>
      </c>
      <c r="FK123" s="36" t="str">
        <f>IF(FI123=$FF$118,$FG$118,IF(FI123=$FF$119,$FG$119,IF(FI123=$FF$120,$FG$120,IF(FI123=$FF$121,$FG$121,IF(FI123=$FF$122,$FG$122,IF(FI123=$FF$123,$FG$123,IF(FI123=$FF$124,$FG$124,IF(FI123=$FF$125,$FG$125,""))))))))</f>
        <v/>
      </c>
      <c r="FL123" s="36" t="str">
        <f t="shared" si="453"/>
        <v/>
      </c>
      <c r="FM123" s="36" t="str">
        <f t="shared" si="454"/>
        <v/>
      </c>
      <c r="FN123" s="36" t="str">
        <f t="shared" si="455"/>
        <v/>
      </c>
      <c r="FP123" s="36">
        <f>SUM(FK123:FN123)</f>
        <v>0</v>
      </c>
      <c r="FQ123" s="36" t="str">
        <f t="shared" si="456"/>
        <v/>
      </c>
      <c r="FS123" s="36">
        <v>6</v>
      </c>
      <c r="FU123" s="138"/>
      <c r="FW123" s="149"/>
      <c r="GC123" s="36" t="str">
        <f>BH2</f>
        <v>xxx</v>
      </c>
      <c r="GY123" s="183"/>
      <c r="GZ123" s="122"/>
      <c r="HC123" s="177"/>
      <c r="HD123" s="122"/>
      <c r="HF123" s="153"/>
    </row>
    <row r="124" spans="1:214" ht="14.25" hidden="1" customHeight="1" thickTop="1" thickBot="1" x14ac:dyDescent="0.3">
      <c r="A124" s="74"/>
      <c r="D124" s="37"/>
      <c r="F124" s="36">
        <f>IF(E40=$BQ$2,1,(IF(E40="",1,(IF(F41="",0,1)))))</f>
        <v>1</v>
      </c>
      <c r="I124" s="36">
        <f>IF(H40=$BQ$2,1,(IF(H40="",1,(IF(I41="",0,1)))))</f>
        <v>1</v>
      </c>
      <c r="L124" s="36">
        <f>IF(K40=$BQ$2,1,(IF(K40="",1,(IF(L41="",0,1)))))</f>
        <v>1</v>
      </c>
      <c r="O124" s="36">
        <f>IF(N40=$BQ$2,1,(IF(N40="",1,(IF(O41="",0,1)))))</f>
        <v>1</v>
      </c>
      <c r="R124" s="36">
        <f>IF(Q40=$BQ$2,1,(IF(Q40="",1,(IF(R41="",0,1)))))</f>
        <v>1</v>
      </c>
      <c r="U124" s="36">
        <f>IF(T40=$BQ$2,1,(IF(T40="",1,(IF(U41="",0,1)))))</f>
        <v>1</v>
      </c>
      <c r="X124" s="36">
        <f>IF(W40=$BQ$2,1,(IF(W40="",1,(IF(X41="",0,1)))))</f>
        <v>1</v>
      </c>
      <c r="AF124" s="36">
        <f t="shared" si="466"/>
        <v>3</v>
      </c>
      <c r="AG124" s="36"/>
      <c r="AH124" s="36">
        <f t="shared" si="467"/>
        <v>999</v>
      </c>
      <c r="AI124" s="36">
        <f t="shared" si="468"/>
        <v>999</v>
      </c>
      <c r="AM124" s="36">
        <f t="shared" si="469"/>
        <v>999</v>
      </c>
      <c r="AN124" s="36">
        <f t="shared" si="470"/>
        <v>999</v>
      </c>
      <c r="AR124" s="36">
        <f t="shared" si="471"/>
        <v>999</v>
      </c>
      <c r="AS124" s="36">
        <f t="shared" si="472"/>
        <v>999</v>
      </c>
      <c r="AW124" s="36">
        <f t="shared" si="473"/>
        <v>999</v>
      </c>
      <c r="AX124" s="36">
        <f t="shared" si="474"/>
        <v>999</v>
      </c>
      <c r="BB124" s="36">
        <f t="shared" si="475"/>
        <v>999</v>
      </c>
      <c r="BC124" s="36">
        <f t="shared" si="476"/>
        <v>999</v>
      </c>
      <c r="BT124" s="36">
        <f t="shared" si="459"/>
        <v>7</v>
      </c>
      <c r="BU124" s="138">
        <v>7</v>
      </c>
      <c r="BV124" s="36">
        <v>7</v>
      </c>
      <c r="BW124" s="36">
        <v>7</v>
      </c>
      <c r="BX124" s="36">
        <v>7</v>
      </c>
      <c r="BY124" s="36">
        <v>7</v>
      </c>
      <c r="BZ124" s="36">
        <v>7</v>
      </c>
      <c r="CA124" s="36">
        <v>7</v>
      </c>
      <c r="CB124" s="36">
        <v>7</v>
      </c>
      <c r="CC124" s="36">
        <v>7</v>
      </c>
      <c r="CD124" s="36">
        <v>7</v>
      </c>
      <c r="CE124" s="36">
        <v>7</v>
      </c>
      <c r="CF124" s="36">
        <v>7</v>
      </c>
      <c r="CG124" s="36">
        <v>7</v>
      </c>
      <c r="CH124" s="36">
        <v>7</v>
      </c>
      <c r="CI124" s="36">
        <v>7</v>
      </c>
      <c r="CJ124" s="36">
        <v>7</v>
      </c>
      <c r="CK124" s="36">
        <v>7</v>
      </c>
      <c r="CL124" s="36">
        <v>7</v>
      </c>
      <c r="CM124" s="36">
        <v>7</v>
      </c>
      <c r="CN124" s="36">
        <v>7</v>
      </c>
      <c r="CU124" s="149"/>
      <c r="DP124" s="36">
        <f t="shared" si="433"/>
        <v>0</v>
      </c>
      <c r="DR124" s="138" t="str">
        <f t="shared" si="434"/>
        <v/>
      </c>
      <c r="DS124" s="36" t="str">
        <f t="shared" si="435"/>
        <v/>
      </c>
      <c r="DU124" s="296">
        <f t="shared" si="436"/>
        <v>0</v>
      </c>
      <c r="DV124" s="296"/>
      <c r="DW124" s="296"/>
      <c r="DX124" s="296">
        <f t="shared" si="437"/>
        <v>10000000000.000999</v>
      </c>
      <c r="DY124" s="296"/>
      <c r="DZ124" s="296"/>
      <c r="EA124" s="53">
        <f t="shared" si="438"/>
        <v>15</v>
      </c>
      <c r="EB124" s="296">
        <f t="shared" si="439"/>
        <v>10000000000.000999</v>
      </c>
      <c r="EC124" s="296"/>
      <c r="ED124" s="296"/>
      <c r="EF124" s="296">
        <f>LARGE($EB$118:$ED$149,BT124)</f>
        <v>10000000000.000999</v>
      </c>
      <c r="EG124" s="296"/>
      <c r="EH124" s="296"/>
      <c r="EJ124" s="36">
        <f t="shared" si="441"/>
        <v>0</v>
      </c>
      <c r="EK124" s="36">
        <f t="shared" si="442"/>
        <v>15</v>
      </c>
      <c r="EM124" s="36">
        <f t="shared" si="443"/>
        <v>7</v>
      </c>
      <c r="EN124" s="149"/>
      <c r="EO124" s="398">
        <f t="shared" si="444"/>
        <v>0</v>
      </c>
      <c r="EP124" s="399"/>
      <c r="EQ124" s="53">
        <f t="shared" si="460"/>
        <v>0</v>
      </c>
      <c r="ER124" s="36">
        <f t="shared" si="445"/>
        <v>1</v>
      </c>
      <c r="ES124" s="36">
        <f>IF(EM124&gt;$EU$111,99,(EM124))</f>
        <v>99</v>
      </c>
      <c r="ET124" s="36">
        <f>IF(ES124=99,99,(IF(EO123=EO124,ET123,(ES124))))</f>
        <v>99</v>
      </c>
      <c r="EU124" s="36">
        <f t="shared" si="446"/>
        <v>99</v>
      </c>
      <c r="EW124" s="323">
        <f>(100+EU124)*100+ET124</f>
        <v>19999</v>
      </c>
      <c r="EX124" s="323"/>
      <c r="EZ124" s="323">
        <f t="shared" si="448"/>
        <v>19999</v>
      </c>
      <c r="FA124" s="323"/>
      <c r="FC124" s="36">
        <f t="shared" si="449"/>
        <v>5</v>
      </c>
      <c r="FF124" s="36">
        <f t="shared" si="450"/>
        <v>99</v>
      </c>
      <c r="FG124" s="36">
        <f t="shared" si="464"/>
        <v>99</v>
      </c>
      <c r="FI124" s="36">
        <f t="shared" si="451"/>
        <v>0</v>
      </c>
      <c r="FJ124" s="36" t="str">
        <f>IF(AD19="","",$FJ$115)</f>
        <v/>
      </c>
      <c r="FK124" s="36" t="str">
        <f t="shared" si="452"/>
        <v/>
      </c>
      <c r="FL124" s="36" t="str">
        <f t="shared" si="453"/>
        <v/>
      </c>
      <c r="FM124" s="36" t="str">
        <f t="shared" si="454"/>
        <v/>
      </c>
      <c r="FN124" s="36" t="str">
        <f t="shared" si="455"/>
        <v/>
      </c>
      <c r="FP124" s="36">
        <f t="shared" si="465"/>
        <v>0</v>
      </c>
      <c r="FQ124" s="36" t="str">
        <f t="shared" si="456"/>
        <v/>
      </c>
      <c r="FS124" s="36">
        <v>7</v>
      </c>
      <c r="FU124" s="138">
        <f>FU122+1</f>
        <v>4</v>
      </c>
      <c r="FW124" s="149" t="str">
        <f>FQ121</f>
        <v/>
      </c>
      <c r="GY124" s="183"/>
      <c r="GZ124" s="122"/>
      <c r="HC124" s="177" t="str">
        <f>GY102</f>
        <v/>
      </c>
      <c r="HD124" s="122">
        <f>HD122+1</f>
        <v>23</v>
      </c>
      <c r="HF124" s="153" t="str">
        <f>HB102</f>
        <v/>
      </c>
    </row>
    <row r="125" spans="1:214" ht="13.5" hidden="1" customHeight="1" thickTop="1" x14ac:dyDescent="0.25">
      <c r="A125" s="74"/>
      <c r="D125" s="37">
        <v>18</v>
      </c>
      <c r="F125" s="36">
        <f>IF(E42=$BQ$2,1,(IF(E42="",1,(IF(F42="",0,1)))))</f>
        <v>1</v>
      </c>
      <c r="I125" s="36">
        <f>IF(H42=$BQ$2,1,(IF(H42="",1,(IF(I42="",0,1)))))</f>
        <v>1</v>
      </c>
      <c r="L125" s="36">
        <f>IF(K42=$BQ$2,1,(IF(K42="",1,(IF(L42="",0,1)))))</f>
        <v>1</v>
      </c>
      <c r="O125" s="36">
        <f>IF(N42=$BQ$2,1,(IF(N42="",1,(IF(O42="",0,1)))))</f>
        <v>1</v>
      </c>
      <c r="R125" s="36">
        <f>IF(Q42=$BQ$2,1,(IF(Q42="",1,(IF(R42="",0,1)))))</f>
        <v>1</v>
      </c>
      <c r="U125" s="36">
        <f>IF(T42=$BQ$2,1,(IF(T42="",1,(IF(U42="",0,1)))))</f>
        <v>1</v>
      </c>
      <c r="X125" s="36">
        <f>IF(W42=$BQ$2,1,(IF(W42="",1,(IF(X42="",0,1)))))</f>
        <v>1</v>
      </c>
      <c r="AF125" s="36">
        <f t="shared" si="466"/>
        <v>4</v>
      </c>
      <c r="AG125" s="36"/>
      <c r="AH125" s="36">
        <f t="shared" si="467"/>
        <v>999</v>
      </c>
      <c r="AI125" s="36">
        <f t="shared" si="468"/>
        <v>999</v>
      </c>
      <c r="AM125" s="36">
        <f t="shared" si="469"/>
        <v>999</v>
      </c>
      <c r="AN125" s="36">
        <f t="shared" si="470"/>
        <v>999</v>
      </c>
      <c r="AR125" s="36">
        <f t="shared" si="471"/>
        <v>999</v>
      </c>
      <c r="AS125" s="36">
        <f t="shared" si="472"/>
        <v>999</v>
      </c>
      <c r="AW125" s="36">
        <f t="shared" si="473"/>
        <v>999</v>
      </c>
      <c r="AX125" s="36">
        <f t="shared" si="474"/>
        <v>999</v>
      </c>
      <c r="BB125" s="36">
        <f t="shared" si="475"/>
        <v>999</v>
      </c>
      <c r="BC125" s="36">
        <f t="shared" si="476"/>
        <v>999</v>
      </c>
      <c r="BT125" s="36">
        <f t="shared" si="459"/>
        <v>8</v>
      </c>
      <c r="BU125" s="138">
        <v>8</v>
      </c>
      <c r="BV125" s="36">
        <v>8</v>
      </c>
      <c r="BW125" s="36">
        <v>8</v>
      </c>
      <c r="BX125" s="36">
        <v>8</v>
      </c>
      <c r="BY125" s="36">
        <v>8</v>
      </c>
      <c r="BZ125" s="36">
        <v>8</v>
      </c>
      <c r="CA125" s="36">
        <v>8</v>
      </c>
      <c r="CB125" s="36">
        <v>8</v>
      </c>
      <c r="CC125" s="36">
        <v>8</v>
      </c>
      <c r="CD125" s="36">
        <v>8</v>
      </c>
      <c r="CE125" s="36">
        <v>8</v>
      </c>
      <c r="CF125" s="36">
        <v>8</v>
      </c>
      <c r="CG125" s="36">
        <v>8</v>
      </c>
      <c r="CH125" s="36">
        <v>8</v>
      </c>
      <c r="CI125" s="36">
        <v>8</v>
      </c>
      <c r="CJ125" s="36">
        <v>8</v>
      </c>
      <c r="CK125" s="36">
        <v>8</v>
      </c>
      <c r="CL125" s="36">
        <v>8</v>
      </c>
      <c r="CU125" s="149"/>
      <c r="DP125" s="36">
        <f t="shared" si="433"/>
        <v>0</v>
      </c>
      <c r="DR125" s="138" t="str">
        <f t="shared" si="434"/>
        <v/>
      </c>
      <c r="DS125" s="36" t="str">
        <f t="shared" si="435"/>
        <v/>
      </c>
      <c r="DU125" s="296">
        <f t="shared" si="436"/>
        <v>0</v>
      </c>
      <c r="DV125" s="296"/>
      <c r="DW125" s="296"/>
      <c r="DX125" s="296">
        <f t="shared" si="437"/>
        <v>10000000000.000999</v>
      </c>
      <c r="DY125" s="296"/>
      <c r="DZ125" s="296"/>
      <c r="EA125" s="53">
        <f t="shared" si="438"/>
        <v>15</v>
      </c>
      <c r="EB125" s="296">
        <f t="shared" si="439"/>
        <v>10000000000.000999</v>
      </c>
      <c r="EC125" s="296"/>
      <c r="ED125" s="296"/>
      <c r="EF125" s="296">
        <f>LARGE($EB$118:$ED$149,BT125)</f>
        <v>10000000000.000999</v>
      </c>
      <c r="EG125" s="296"/>
      <c r="EH125" s="296"/>
      <c r="EJ125" s="36">
        <f t="shared" si="441"/>
        <v>0</v>
      </c>
      <c r="EK125" s="36">
        <f t="shared" si="442"/>
        <v>15</v>
      </c>
      <c r="EM125" s="36">
        <f t="shared" si="443"/>
        <v>8</v>
      </c>
      <c r="EN125" s="149"/>
      <c r="EO125" s="398">
        <f t="shared" si="444"/>
        <v>0</v>
      </c>
      <c r="EP125" s="399"/>
      <c r="EQ125" s="53">
        <f t="shared" si="460"/>
        <v>0</v>
      </c>
      <c r="ER125" s="36">
        <f t="shared" si="445"/>
        <v>1</v>
      </c>
      <c r="ES125" s="36">
        <f t="shared" ref="ES125:ES149" si="477">IF(EM125&gt;$EU$111,99,(EM125))</f>
        <v>99</v>
      </c>
      <c r="ET125" s="36">
        <f>IF(ES125=99,99,(IF(EO124=EO125,ET124,(ES125))))</f>
        <v>99</v>
      </c>
      <c r="EU125" s="36">
        <f t="shared" si="446"/>
        <v>99</v>
      </c>
      <c r="EW125" s="323">
        <f t="shared" si="447"/>
        <v>19999</v>
      </c>
      <c r="EX125" s="323"/>
      <c r="EZ125" s="323">
        <f t="shared" si="448"/>
        <v>19999</v>
      </c>
      <c r="FA125" s="323"/>
      <c r="FC125" s="36">
        <f t="shared" si="449"/>
        <v>5</v>
      </c>
      <c r="FF125" s="36">
        <f t="shared" si="450"/>
        <v>99</v>
      </c>
      <c r="FG125" s="36">
        <f t="shared" si="464"/>
        <v>99</v>
      </c>
      <c r="FI125" s="36">
        <f t="shared" si="451"/>
        <v>0</v>
      </c>
      <c r="FJ125" s="36" t="str">
        <f>IF(AD21="","",$FJ$115)</f>
        <v/>
      </c>
      <c r="FK125" s="36" t="str">
        <f t="shared" si="452"/>
        <v/>
      </c>
      <c r="FL125" s="36" t="str">
        <f t="shared" si="453"/>
        <v/>
      </c>
      <c r="FM125" s="36" t="str">
        <f t="shared" si="454"/>
        <v/>
      </c>
      <c r="FN125" s="36" t="str">
        <f t="shared" si="455"/>
        <v/>
      </c>
      <c r="FP125" s="36">
        <f t="shared" si="465"/>
        <v>0</v>
      </c>
      <c r="FQ125" s="36" t="str">
        <f t="shared" si="456"/>
        <v/>
      </c>
      <c r="FS125" s="36">
        <v>8</v>
      </c>
      <c r="FU125" s="138"/>
      <c r="FW125" s="149"/>
      <c r="GC125" s="400" t="str">
        <f>GC106</f>
        <v>1. repas</v>
      </c>
      <c r="GD125" s="401"/>
      <c r="GE125" s="80"/>
      <c r="GF125" s="401" t="str">
        <f>GF106</f>
        <v>2. repas</v>
      </c>
      <c r="GG125" s="401"/>
      <c r="GH125" s="80"/>
      <c r="GI125" s="401" t="str">
        <f>GI106</f>
        <v>3. repas</v>
      </c>
      <c r="GJ125" s="402"/>
      <c r="GY125" s="183"/>
      <c r="GZ125" s="122"/>
      <c r="HC125" s="177"/>
      <c r="HD125" s="122"/>
      <c r="HF125" s="153"/>
    </row>
    <row r="126" spans="1:214" ht="12.75" hidden="1" customHeight="1" x14ac:dyDescent="0.25">
      <c r="A126" s="74"/>
      <c r="D126" s="37"/>
      <c r="F126" s="36">
        <f>IF(E42=$BQ$2,1,(IF(E42="",1,(IF(F43="",0,1)))))</f>
        <v>1</v>
      </c>
      <c r="I126" s="36">
        <f>IF(H42=$BQ$2,1,(IF(H42="",1,(IF(I43="",0,1)))))</f>
        <v>1</v>
      </c>
      <c r="L126" s="36">
        <f>IF(K42=$BQ$2,1,(IF(K42="",1,(IF(L43="",0,1)))))</f>
        <v>1</v>
      </c>
      <c r="O126" s="36">
        <f>IF(N42=$BQ$2,1,(IF(N42="",1,(IF(O43="",0,1)))))</f>
        <v>1</v>
      </c>
      <c r="R126" s="36">
        <f>IF(Q42=$BQ$2,1,(IF(Q42="",1,(IF(R43="",0,1)))))</f>
        <v>1</v>
      </c>
      <c r="U126" s="36">
        <f>IF(T42=$BQ$2,1,(IF(T42="",1,(IF(U43="",0,1)))))</f>
        <v>1</v>
      </c>
      <c r="X126" s="36">
        <f>IF(W42=$BQ$2,1,(IF(W42="",1,(IF(X43="",0,1)))))</f>
        <v>1</v>
      </c>
      <c r="AF126" s="36">
        <f t="shared" si="466"/>
        <v>5</v>
      </c>
      <c r="AG126" s="36"/>
      <c r="AH126" s="36">
        <f t="shared" si="467"/>
        <v>999</v>
      </c>
      <c r="AI126" s="36">
        <f t="shared" si="468"/>
        <v>999</v>
      </c>
      <c r="AM126" s="36">
        <f t="shared" si="469"/>
        <v>999</v>
      </c>
      <c r="AN126" s="36">
        <f t="shared" si="470"/>
        <v>999</v>
      </c>
      <c r="AR126" s="36">
        <f t="shared" si="471"/>
        <v>999</v>
      </c>
      <c r="AS126" s="36">
        <f t="shared" si="472"/>
        <v>999</v>
      </c>
      <c r="AW126" s="36">
        <f t="shared" si="473"/>
        <v>999</v>
      </c>
      <c r="AX126" s="36">
        <f t="shared" si="474"/>
        <v>999</v>
      </c>
      <c r="BB126" s="36">
        <f t="shared" si="475"/>
        <v>999</v>
      </c>
      <c r="BC126" s="36">
        <f t="shared" si="476"/>
        <v>999</v>
      </c>
      <c r="BT126" s="36">
        <f t="shared" si="459"/>
        <v>9</v>
      </c>
      <c r="BU126" s="138">
        <v>9</v>
      </c>
      <c r="BV126" s="36">
        <v>9</v>
      </c>
      <c r="BW126" s="36">
        <v>9</v>
      </c>
      <c r="BX126" s="36">
        <v>9</v>
      </c>
      <c r="BY126" s="36">
        <v>9</v>
      </c>
      <c r="BZ126" s="36">
        <v>9</v>
      </c>
      <c r="CA126" s="36">
        <v>9</v>
      </c>
      <c r="CB126" s="36">
        <v>9</v>
      </c>
      <c r="CC126" s="36">
        <v>9</v>
      </c>
      <c r="CD126" s="36">
        <v>9</v>
      </c>
      <c r="CE126" s="36">
        <v>9</v>
      </c>
      <c r="CF126" s="36">
        <v>9</v>
      </c>
      <c r="CG126" s="36">
        <v>9</v>
      </c>
      <c r="CH126" s="36">
        <v>9</v>
      </c>
      <c r="CI126" s="36">
        <v>9</v>
      </c>
      <c r="CJ126" s="36">
        <v>9</v>
      </c>
      <c r="CU126" s="149"/>
      <c r="DP126" s="36">
        <f t="shared" si="433"/>
        <v>0</v>
      </c>
      <c r="DR126" s="138" t="str">
        <f t="shared" si="434"/>
        <v/>
      </c>
      <c r="DS126" s="36" t="str">
        <f t="shared" si="435"/>
        <v/>
      </c>
      <c r="DU126" s="296">
        <f t="shared" si="436"/>
        <v>0</v>
      </c>
      <c r="DV126" s="296"/>
      <c r="DW126" s="296"/>
      <c r="DX126" s="296">
        <f t="shared" si="437"/>
        <v>10000000000.000999</v>
      </c>
      <c r="DY126" s="296"/>
      <c r="DZ126" s="296"/>
      <c r="EA126" s="53">
        <f t="shared" si="438"/>
        <v>15</v>
      </c>
      <c r="EB126" s="296">
        <f t="shared" si="439"/>
        <v>10000000000.000999</v>
      </c>
      <c r="EC126" s="296"/>
      <c r="ED126" s="296"/>
      <c r="EF126" s="296">
        <f t="shared" si="440"/>
        <v>10000000000.000999</v>
      </c>
      <c r="EG126" s="296"/>
      <c r="EH126" s="296"/>
      <c r="EJ126" s="36">
        <f t="shared" si="441"/>
        <v>0</v>
      </c>
      <c r="EK126" s="36">
        <f t="shared" si="442"/>
        <v>15</v>
      </c>
      <c r="EM126" s="36">
        <f>EM125+1</f>
        <v>9</v>
      </c>
      <c r="EN126" s="149"/>
      <c r="EO126" s="398">
        <f t="shared" si="444"/>
        <v>0</v>
      </c>
      <c r="EP126" s="399"/>
      <c r="EQ126" s="53">
        <f t="shared" si="460"/>
        <v>0</v>
      </c>
      <c r="ER126" s="36">
        <f t="shared" si="445"/>
        <v>1</v>
      </c>
      <c r="ES126" s="36">
        <f>IF(EM126&gt;$EU$111,99,(EM126))</f>
        <v>99</v>
      </c>
      <c r="ET126" s="36">
        <f t="shared" si="461"/>
        <v>99</v>
      </c>
      <c r="EU126" s="36">
        <f t="shared" si="446"/>
        <v>99</v>
      </c>
      <c r="EW126" s="323">
        <f>(100+EU126)*100+ET126</f>
        <v>19999</v>
      </c>
      <c r="EX126" s="323"/>
      <c r="EZ126" s="323">
        <f t="shared" si="448"/>
        <v>19999</v>
      </c>
      <c r="FA126" s="323"/>
      <c r="FC126" s="36">
        <f t="shared" si="449"/>
        <v>5</v>
      </c>
      <c r="FF126" s="36">
        <f t="shared" si="450"/>
        <v>99</v>
      </c>
      <c r="FG126" s="36">
        <f t="shared" si="464"/>
        <v>99</v>
      </c>
      <c r="FI126" s="36">
        <f t="shared" si="451"/>
        <v>0</v>
      </c>
      <c r="FJ126" s="36" t="str">
        <f>IF(AD23="","",$FJ$115)</f>
        <v/>
      </c>
      <c r="FK126" s="36" t="str">
        <f t="shared" si="452"/>
        <v/>
      </c>
      <c r="FL126" s="36" t="str">
        <f t="shared" si="453"/>
        <v/>
      </c>
      <c r="FM126" s="36" t="str">
        <f t="shared" si="454"/>
        <v/>
      </c>
      <c r="FN126" s="36" t="str">
        <f t="shared" si="455"/>
        <v/>
      </c>
      <c r="FP126" s="36">
        <f t="shared" si="465"/>
        <v>0</v>
      </c>
      <c r="FQ126" s="36" t="str">
        <f t="shared" si="456"/>
        <v/>
      </c>
      <c r="FS126" s="36">
        <v>9</v>
      </c>
      <c r="FU126" s="138">
        <f>FU124+1</f>
        <v>5</v>
      </c>
      <c r="FW126" s="149" t="str">
        <f>FQ122</f>
        <v/>
      </c>
      <c r="GC126" s="203"/>
      <c r="GJ126" s="173"/>
      <c r="GY126" s="183"/>
      <c r="GZ126" s="122"/>
      <c r="HC126" s="177" t="str">
        <f>GY103</f>
        <v/>
      </c>
      <c r="HD126" s="122">
        <f>HD124+1</f>
        <v>24</v>
      </c>
      <c r="HF126" s="153" t="str">
        <f>HB103</f>
        <v/>
      </c>
    </row>
    <row r="127" spans="1:214" ht="12.75" hidden="1" customHeight="1" x14ac:dyDescent="0.25">
      <c r="A127" s="74"/>
      <c r="D127" s="37">
        <v>19</v>
      </c>
      <c r="F127" s="36">
        <f>IF(E44=$BQ$2,1,(IF(E44="",1,(IF(F44="",0,1)))))</f>
        <v>1</v>
      </c>
      <c r="I127" s="36">
        <f>IF(H44=$BQ$2,1,(IF(H44="",1,(IF(I44="",0,1)))))</f>
        <v>1</v>
      </c>
      <c r="L127" s="36">
        <f>IF(K44=$BQ$2,1,(IF(K44="",1,(IF(L44="",0,1)))))</f>
        <v>1</v>
      </c>
      <c r="O127" s="36">
        <f>IF(N44=$BQ$2,1,(IF(N44="",1,(IF(O44="",0,1)))))</f>
        <v>1</v>
      </c>
      <c r="R127" s="36">
        <f>IF(Q44=$BQ$2,1,(IF(Q44="",1,(IF(R44="",0,1)))))</f>
        <v>1</v>
      </c>
      <c r="U127" s="36">
        <f>IF(T44=$BQ$2,1,(IF(T44="",1,(IF(U44="",0,1)))))</f>
        <v>1</v>
      </c>
      <c r="X127" s="36">
        <f>IF(W44=$BQ$2,1,(IF(W44="",1,(IF(X44="",0,1)))))</f>
        <v>1</v>
      </c>
      <c r="AF127" s="36">
        <f t="shared" si="466"/>
        <v>6</v>
      </c>
      <c r="AG127" s="36"/>
      <c r="AH127" s="36">
        <f t="shared" si="467"/>
        <v>999</v>
      </c>
      <c r="AI127" s="36">
        <f t="shared" si="468"/>
        <v>999</v>
      </c>
      <c r="AM127" s="36">
        <f t="shared" si="469"/>
        <v>999</v>
      </c>
      <c r="AN127" s="36">
        <f t="shared" si="470"/>
        <v>999</v>
      </c>
      <c r="AR127" s="36">
        <f t="shared" si="471"/>
        <v>999</v>
      </c>
      <c r="AS127" s="36">
        <f t="shared" si="472"/>
        <v>999</v>
      </c>
      <c r="AW127" s="36">
        <f t="shared" si="473"/>
        <v>999</v>
      </c>
      <c r="AX127" s="36">
        <f t="shared" si="474"/>
        <v>999</v>
      </c>
      <c r="BB127" s="36">
        <f t="shared" si="475"/>
        <v>999</v>
      </c>
      <c r="BC127" s="36">
        <f t="shared" si="476"/>
        <v>999</v>
      </c>
      <c r="BT127" s="36">
        <f t="shared" si="459"/>
        <v>10</v>
      </c>
      <c r="BU127" s="138">
        <v>10</v>
      </c>
      <c r="BV127" s="36">
        <v>10</v>
      </c>
      <c r="BW127" s="36">
        <v>10</v>
      </c>
      <c r="BX127" s="36">
        <v>10</v>
      </c>
      <c r="BY127" s="36">
        <v>10</v>
      </c>
      <c r="BZ127" s="36">
        <v>10</v>
      </c>
      <c r="CA127" s="36">
        <v>10</v>
      </c>
      <c r="CB127" s="36">
        <v>10</v>
      </c>
      <c r="CC127" s="36">
        <v>10</v>
      </c>
      <c r="CD127" s="36">
        <v>10</v>
      </c>
      <c r="CE127" s="36">
        <v>10</v>
      </c>
      <c r="CF127" s="36">
        <v>10</v>
      </c>
      <c r="CG127" s="36">
        <v>10</v>
      </c>
      <c r="CH127" s="36">
        <v>10</v>
      </c>
      <c r="CU127" s="149"/>
      <c r="DI127" s="67" t="str">
        <f>CQ5</f>
        <v>počet závodníků</v>
      </c>
      <c r="DL127" s="36">
        <f>Z3</f>
        <v>6</v>
      </c>
      <c r="DP127" s="36">
        <f t="shared" si="433"/>
        <v>0</v>
      </c>
      <c r="DR127" s="138" t="str">
        <f t="shared" si="434"/>
        <v/>
      </c>
      <c r="DS127" s="36" t="str">
        <f t="shared" si="435"/>
        <v/>
      </c>
      <c r="DU127" s="296">
        <f t="shared" si="436"/>
        <v>0</v>
      </c>
      <c r="DV127" s="296"/>
      <c r="DW127" s="296"/>
      <c r="DX127" s="296">
        <f t="shared" si="437"/>
        <v>10000000000.000999</v>
      </c>
      <c r="DY127" s="296"/>
      <c r="DZ127" s="296"/>
      <c r="EA127" s="53">
        <f t="shared" si="438"/>
        <v>15</v>
      </c>
      <c r="EB127" s="296">
        <f t="shared" si="439"/>
        <v>10000000000.000999</v>
      </c>
      <c r="EC127" s="296"/>
      <c r="ED127" s="296"/>
      <c r="EF127" s="296">
        <f t="shared" si="440"/>
        <v>10000000000.000999</v>
      </c>
      <c r="EG127" s="296"/>
      <c r="EH127" s="296"/>
      <c r="EJ127" s="36">
        <f t="shared" si="441"/>
        <v>0</v>
      </c>
      <c r="EK127" s="36">
        <f t="shared" si="442"/>
        <v>15</v>
      </c>
      <c r="EM127" s="36">
        <f t="shared" ref="EM127:EM149" si="478">EM126+1</f>
        <v>10</v>
      </c>
      <c r="EN127" s="149"/>
      <c r="EO127" s="398">
        <f t="shared" si="444"/>
        <v>0</v>
      </c>
      <c r="EP127" s="399"/>
      <c r="EQ127" s="53">
        <f t="shared" si="460"/>
        <v>0</v>
      </c>
      <c r="ER127" s="36">
        <f t="shared" si="445"/>
        <v>1</v>
      </c>
      <c r="ES127" s="36">
        <f t="shared" si="477"/>
        <v>99</v>
      </c>
      <c r="ET127" s="36">
        <f t="shared" si="461"/>
        <v>99</v>
      </c>
      <c r="EU127" s="36">
        <f t="shared" si="446"/>
        <v>99</v>
      </c>
      <c r="EW127" s="323">
        <f t="shared" si="447"/>
        <v>19999</v>
      </c>
      <c r="EX127" s="323"/>
      <c r="EZ127" s="323">
        <f t="shared" si="448"/>
        <v>19999</v>
      </c>
      <c r="FA127" s="323"/>
      <c r="FC127" s="36">
        <f t="shared" si="449"/>
        <v>5</v>
      </c>
      <c r="FF127" s="36">
        <f t="shared" si="450"/>
        <v>99</v>
      </c>
      <c r="FG127" s="36">
        <f t="shared" si="464"/>
        <v>99</v>
      </c>
      <c r="FI127" s="36">
        <f t="shared" si="451"/>
        <v>0</v>
      </c>
      <c r="FJ127" s="36" t="str">
        <f>IF(AD25="","",$FJ$115)</f>
        <v/>
      </c>
      <c r="FK127" s="36" t="str">
        <f t="shared" si="452"/>
        <v/>
      </c>
      <c r="FL127" s="36" t="str">
        <f t="shared" si="453"/>
        <v/>
      </c>
      <c r="FM127" s="36" t="str">
        <f t="shared" si="454"/>
        <v/>
      </c>
      <c r="FN127" s="36" t="str">
        <f t="shared" si="455"/>
        <v/>
      </c>
      <c r="FP127" s="36">
        <f t="shared" si="465"/>
        <v>0</v>
      </c>
      <c r="FQ127" s="36" t="str">
        <f t="shared" si="456"/>
        <v/>
      </c>
      <c r="FS127" s="36">
        <v>10</v>
      </c>
      <c r="FU127" s="138"/>
      <c r="FW127" s="149"/>
      <c r="GA127" s="36">
        <v>1</v>
      </c>
      <c r="GC127" s="203" t="str">
        <f>IF((GC120)="",IF((GO120)="",$GC$123,GO120),GC120)</f>
        <v>xxx</v>
      </c>
      <c r="GD127" s="36" t="str">
        <f t="shared" ref="GD127:GJ127" si="479">IF((GD120)="",IF((GP120)="",$GC$123,GP120),GD120)</f>
        <v>xxx</v>
      </c>
      <c r="GF127" s="36" t="str">
        <f t="shared" si="479"/>
        <v>xxx</v>
      </c>
      <c r="GG127" s="36" t="str">
        <f t="shared" si="479"/>
        <v>xxx</v>
      </c>
      <c r="GI127" s="36" t="str">
        <f t="shared" si="479"/>
        <v>xxx</v>
      </c>
      <c r="GJ127" s="173" t="str">
        <f t="shared" si="479"/>
        <v>xxx</v>
      </c>
      <c r="GY127" s="183"/>
      <c r="GZ127" s="122"/>
      <c r="HC127" s="177"/>
      <c r="HD127" s="122"/>
      <c r="HF127" s="153"/>
    </row>
    <row r="128" spans="1:214" ht="13.5" hidden="1" customHeight="1" thickBot="1" x14ac:dyDescent="0.3">
      <c r="A128" s="74"/>
      <c r="D128" s="37"/>
      <c r="F128" s="36">
        <f>IF(E44=$BQ$2,1,(IF(E44="",1,(IF(F45="",0,1)))))</f>
        <v>1</v>
      </c>
      <c r="I128" s="36">
        <f>IF(H44=$BQ$2,1,(IF(H44="",1,(IF(I45="",0,1)))))</f>
        <v>1</v>
      </c>
      <c r="L128" s="36">
        <f>IF(K44=$BQ$2,1,(IF(K44="",1,(IF(L45="",0,1)))))</f>
        <v>1</v>
      </c>
      <c r="O128" s="36">
        <f>IF(N44=$BQ$2,1,(IF(N44="",1,(IF(O45="",0,1)))))</f>
        <v>1</v>
      </c>
      <c r="R128" s="36">
        <f>IF(Q44=$BQ$2,1,(IF(Q44="",1,(IF(R45="",0,1)))))</f>
        <v>1</v>
      </c>
      <c r="U128" s="36">
        <f>IF(T44=$BQ$2,1,(IF(T44="",1,(IF(U45="",0,1)))))</f>
        <v>1</v>
      </c>
      <c r="X128" s="36">
        <f>IF(W44=$BQ$2,1,(IF(W44="",1,(IF(X45="",0,1)))))</f>
        <v>1</v>
      </c>
      <c r="AF128" s="36">
        <f t="shared" si="466"/>
        <v>7</v>
      </c>
      <c r="AG128" s="36"/>
      <c r="AH128" s="36">
        <f t="shared" si="467"/>
        <v>999</v>
      </c>
      <c r="AI128" s="36">
        <f t="shared" si="468"/>
        <v>999</v>
      </c>
      <c r="AM128" s="36">
        <f t="shared" si="469"/>
        <v>999</v>
      </c>
      <c r="AN128" s="36">
        <f t="shared" si="470"/>
        <v>999</v>
      </c>
      <c r="AR128" s="36">
        <f t="shared" si="471"/>
        <v>999</v>
      </c>
      <c r="AS128" s="36">
        <f t="shared" si="472"/>
        <v>999</v>
      </c>
      <c r="AW128" s="36">
        <f t="shared" si="473"/>
        <v>999</v>
      </c>
      <c r="AX128" s="36">
        <f t="shared" si="474"/>
        <v>999</v>
      </c>
      <c r="BB128" s="36">
        <f t="shared" si="475"/>
        <v>999</v>
      </c>
      <c r="BC128" s="36">
        <f t="shared" si="476"/>
        <v>999</v>
      </c>
      <c r="BT128" s="36">
        <f t="shared" si="459"/>
        <v>11</v>
      </c>
      <c r="BU128" s="138">
        <v>11</v>
      </c>
      <c r="BV128" s="36">
        <v>11</v>
      </c>
      <c r="BW128" s="36">
        <v>11</v>
      </c>
      <c r="BX128" s="36">
        <v>11</v>
      </c>
      <c r="BY128" s="36">
        <v>11</v>
      </c>
      <c r="BZ128" s="36">
        <v>11</v>
      </c>
      <c r="CA128" s="36">
        <v>11</v>
      </c>
      <c r="CB128" s="36">
        <v>11</v>
      </c>
      <c r="CC128" s="36">
        <v>11</v>
      </c>
      <c r="CD128" s="36">
        <v>11</v>
      </c>
      <c r="CE128" s="36">
        <v>11</v>
      </c>
      <c r="CF128" s="36">
        <v>11</v>
      </c>
      <c r="CU128" s="149"/>
      <c r="DP128" s="36">
        <f t="shared" si="433"/>
        <v>0</v>
      </c>
      <c r="DR128" s="138" t="str">
        <f t="shared" si="434"/>
        <v/>
      </c>
      <c r="DS128" s="36" t="str">
        <f t="shared" si="435"/>
        <v/>
      </c>
      <c r="DU128" s="296">
        <f t="shared" si="436"/>
        <v>0</v>
      </c>
      <c r="DV128" s="296"/>
      <c r="DW128" s="296"/>
      <c r="DX128" s="296">
        <f t="shared" si="437"/>
        <v>10000000000.000999</v>
      </c>
      <c r="DY128" s="296"/>
      <c r="DZ128" s="296"/>
      <c r="EA128" s="53">
        <f t="shared" si="438"/>
        <v>15</v>
      </c>
      <c r="EB128" s="296">
        <f t="shared" si="439"/>
        <v>10000000000.000999</v>
      </c>
      <c r="EC128" s="296"/>
      <c r="ED128" s="296"/>
      <c r="EF128" s="296">
        <f t="shared" si="440"/>
        <v>10000000000.000999</v>
      </c>
      <c r="EG128" s="296"/>
      <c r="EH128" s="296"/>
      <c r="EJ128" s="36">
        <f t="shared" si="441"/>
        <v>0</v>
      </c>
      <c r="EK128" s="36">
        <f t="shared" si="442"/>
        <v>15</v>
      </c>
      <c r="EM128" s="36">
        <f t="shared" si="478"/>
        <v>11</v>
      </c>
      <c r="EN128" s="149"/>
      <c r="EO128" s="398">
        <f t="shared" si="444"/>
        <v>0</v>
      </c>
      <c r="EP128" s="399"/>
      <c r="EQ128" s="53">
        <f t="shared" si="460"/>
        <v>0</v>
      </c>
      <c r="ER128" s="36">
        <f t="shared" si="445"/>
        <v>1</v>
      </c>
      <c r="ES128" s="36">
        <f t="shared" si="477"/>
        <v>99</v>
      </c>
      <c r="ET128" s="36">
        <f t="shared" si="461"/>
        <v>99</v>
      </c>
      <c r="EU128" s="36">
        <f t="shared" si="446"/>
        <v>99</v>
      </c>
      <c r="EW128" s="323">
        <f t="shared" si="447"/>
        <v>19999</v>
      </c>
      <c r="EX128" s="323"/>
      <c r="EZ128" s="323">
        <f t="shared" si="448"/>
        <v>19999</v>
      </c>
      <c r="FA128" s="323"/>
      <c r="FC128" s="36">
        <f t="shared" si="449"/>
        <v>5</v>
      </c>
      <c r="FF128" s="36">
        <f t="shared" si="450"/>
        <v>99</v>
      </c>
      <c r="FG128" s="36">
        <f t="shared" si="464"/>
        <v>99</v>
      </c>
      <c r="FI128" s="36">
        <f t="shared" si="451"/>
        <v>0</v>
      </c>
      <c r="FJ128" s="36" t="str">
        <f>IF(AD27="","",$FJ$115)</f>
        <v/>
      </c>
      <c r="FK128" s="36" t="str">
        <f t="shared" si="452"/>
        <v/>
      </c>
      <c r="FL128" s="36" t="str">
        <f t="shared" si="453"/>
        <v/>
      </c>
      <c r="FM128" s="36" t="str">
        <f t="shared" si="454"/>
        <v/>
      </c>
      <c r="FN128" s="36" t="str">
        <f t="shared" si="455"/>
        <v/>
      </c>
      <c r="FP128" s="36">
        <f t="shared" si="465"/>
        <v>0</v>
      </c>
      <c r="FQ128" s="36" t="str">
        <f t="shared" si="456"/>
        <v/>
      </c>
      <c r="FS128" s="36">
        <v>11</v>
      </c>
      <c r="FU128" s="138">
        <f>FU126+1</f>
        <v>6</v>
      </c>
      <c r="FW128" s="149" t="str">
        <f>FQ123</f>
        <v/>
      </c>
      <c r="GA128" s="36">
        <v>2</v>
      </c>
      <c r="GC128" s="204" t="str">
        <f>IF((GC120)="",$GC$123,GO120)</f>
        <v>xxx</v>
      </c>
      <c r="GD128" s="81" t="str">
        <f>IF((GD120)="",$GC$123,GP120)</f>
        <v>xxx</v>
      </c>
      <c r="GE128" s="81"/>
      <c r="GF128" s="81" t="str">
        <f>IF((GF120)="",$GC$123,GR120)</f>
        <v>xxx</v>
      </c>
      <c r="GG128" s="81" t="str">
        <f>IF((GG120)="",$GC$123,GS120)</f>
        <v>xxx</v>
      </c>
      <c r="GH128" s="81"/>
      <c r="GI128" s="81" t="str">
        <f>IF((GI120)="",$GC$123,GU120)</f>
        <v>xxx</v>
      </c>
      <c r="GJ128" s="198" t="str">
        <f>IF((GJ120)="",$GC$123,GV120)</f>
        <v>xxx</v>
      </c>
      <c r="GY128" s="183"/>
      <c r="GZ128" s="122"/>
      <c r="HC128" s="177" t="str">
        <f>GY104</f>
        <v/>
      </c>
      <c r="HD128" s="122">
        <f>HD126+1</f>
        <v>25</v>
      </c>
      <c r="HF128" s="153" t="str">
        <f>HB104</f>
        <v/>
      </c>
    </row>
    <row r="129" spans="1:214" ht="14.25" hidden="1" customHeight="1" thickTop="1" thickBot="1" x14ac:dyDescent="0.3">
      <c r="A129" s="74"/>
      <c r="D129" s="37">
        <v>20</v>
      </c>
      <c r="F129" s="36">
        <f>IF(E46=$BQ$2,1,(IF(E46="",1,(IF(F46="",0,1)))))</f>
        <v>1</v>
      </c>
      <c r="I129" s="36">
        <f>IF(H46=$BQ$2,1,(IF(H46="",1,(IF(I46="",0,1)))))</f>
        <v>1</v>
      </c>
      <c r="L129" s="36">
        <f>IF(K46=$BQ$2,1,(IF(K46="",1,(IF(L46="",0,1)))))</f>
        <v>1</v>
      </c>
      <c r="O129" s="36">
        <f>IF(N46=$BQ$2,1,(IF(N46="",1,(IF(O46="",0,1)))))</f>
        <v>1</v>
      </c>
      <c r="R129" s="36">
        <f>IF(Q46=$BQ$2,1,(IF(Q46="",1,(IF(R46="",0,1)))))</f>
        <v>1</v>
      </c>
      <c r="U129" s="36">
        <f>IF(T46=$BQ$2,1,(IF(T46="",1,(IF(U46="",0,1)))))</f>
        <v>1</v>
      </c>
      <c r="X129" s="36">
        <f>IF(W46=$BQ$2,1,(IF(W46="",1,(IF(X46="",0,1)))))</f>
        <v>1</v>
      </c>
      <c r="AF129" s="36">
        <f t="shared" si="466"/>
        <v>8</v>
      </c>
      <c r="AG129" s="36"/>
      <c r="AH129" s="36">
        <f t="shared" si="467"/>
        <v>999</v>
      </c>
      <c r="AI129" s="36">
        <f t="shared" si="468"/>
        <v>999</v>
      </c>
      <c r="AM129" s="36">
        <f t="shared" si="469"/>
        <v>999</v>
      </c>
      <c r="AN129" s="36">
        <f t="shared" si="470"/>
        <v>999</v>
      </c>
      <c r="AR129" s="36">
        <f t="shared" si="471"/>
        <v>999</v>
      </c>
      <c r="AS129" s="36">
        <f t="shared" si="472"/>
        <v>999</v>
      </c>
      <c r="AW129" s="36">
        <f t="shared" si="473"/>
        <v>999</v>
      </c>
      <c r="AX129" s="36">
        <f t="shared" si="474"/>
        <v>999</v>
      </c>
      <c r="BB129" s="36">
        <f t="shared" si="475"/>
        <v>999</v>
      </c>
      <c r="BC129" s="36">
        <f t="shared" si="476"/>
        <v>999</v>
      </c>
      <c r="BT129" s="36">
        <f t="shared" si="459"/>
        <v>12</v>
      </c>
      <c r="BU129" s="138">
        <v>12</v>
      </c>
      <c r="BV129" s="36">
        <v>12</v>
      </c>
      <c r="BW129" s="36">
        <v>12</v>
      </c>
      <c r="BX129" s="36">
        <v>12</v>
      </c>
      <c r="BY129" s="36">
        <v>12</v>
      </c>
      <c r="BZ129" s="36">
        <v>12</v>
      </c>
      <c r="CA129" s="36">
        <v>12</v>
      </c>
      <c r="CB129" s="36">
        <v>12</v>
      </c>
      <c r="CC129" s="36">
        <v>12</v>
      </c>
      <c r="CD129" s="36">
        <v>12</v>
      </c>
      <c r="CU129" s="149"/>
      <c r="DL129" s="125">
        <f>33-DL127</f>
        <v>27</v>
      </c>
      <c r="DP129" s="36">
        <f t="shared" si="433"/>
        <v>0</v>
      </c>
      <c r="DR129" s="138" t="str">
        <f t="shared" si="434"/>
        <v/>
      </c>
      <c r="DS129" s="36" t="str">
        <f t="shared" si="435"/>
        <v/>
      </c>
      <c r="DU129" s="296">
        <f t="shared" si="436"/>
        <v>0</v>
      </c>
      <c r="DV129" s="296"/>
      <c r="DW129" s="296"/>
      <c r="DX129" s="296">
        <f t="shared" si="437"/>
        <v>10000000000.000999</v>
      </c>
      <c r="DY129" s="296"/>
      <c r="DZ129" s="296"/>
      <c r="EA129" s="53">
        <f t="shared" si="438"/>
        <v>15</v>
      </c>
      <c r="EB129" s="296">
        <f t="shared" si="439"/>
        <v>10000000000.000999</v>
      </c>
      <c r="EC129" s="296"/>
      <c r="ED129" s="296"/>
      <c r="EF129" s="296">
        <f t="shared" si="440"/>
        <v>10000000000.000999</v>
      </c>
      <c r="EG129" s="296"/>
      <c r="EH129" s="296"/>
      <c r="EJ129" s="36">
        <f t="shared" si="441"/>
        <v>0</v>
      </c>
      <c r="EK129" s="36">
        <f t="shared" si="442"/>
        <v>15</v>
      </c>
      <c r="EM129" s="36">
        <f t="shared" si="478"/>
        <v>12</v>
      </c>
      <c r="EN129" s="149"/>
      <c r="EO129" s="398">
        <f t="shared" si="444"/>
        <v>0</v>
      </c>
      <c r="EP129" s="399"/>
      <c r="EQ129" s="53">
        <f t="shared" si="460"/>
        <v>0</v>
      </c>
      <c r="ER129" s="36">
        <f t="shared" si="445"/>
        <v>1</v>
      </c>
      <c r="ES129" s="36">
        <f t="shared" si="477"/>
        <v>99</v>
      </c>
      <c r="ET129" s="36">
        <f t="shared" si="461"/>
        <v>99</v>
      </c>
      <c r="EU129" s="36">
        <f t="shared" si="446"/>
        <v>99</v>
      </c>
      <c r="EW129" s="323">
        <f t="shared" si="447"/>
        <v>19999</v>
      </c>
      <c r="EX129" s="323"/>
      <c r="EZ129" s="323">
        <f t="shared" si="448"/>
        <v>19999</v>
      </c>
      <c r="FA129" s="323"/>
      <c r="FC129" s="36">
        <f t="shared" si="449"/>
        <v>5</v>
      </c>
      <c r="FF129" s="36">
        <f t="shared" si="450"/>
        <v>99</v>
      </c>
      <c r="FG129" s="36">
        <f t="shared" si="464"/>
        <v>99</v>
      </c>
      <c r="FI129" s="36">
        <f t="shared" si="451"/>
        <v>0</v>
      </c>
      <c r="FJ129" s="36" t="str">
        <f>IF(AD29="","",$FJ$115)</f>
        <v/>
      </c>
      <c r="FK129" s="36" t="str">
        <f t="shared" si="452"/>
        <v/>
      </c>
      <c r="FL129" s="36" t="str">
        <f t="shared" si="453"/>
        <v/>
      </c>
      <c r="FM129" s="36" t="str">
        <f t="shared" si="454"/>
        <v/>
      </c>
      <c r="FN129" s="36" t="str">
        <f t="shared" si="455"/>
        <v/>
      </c>
      <c r="FP129" s="36">
        <f t="shared" si="465"/>
        <v>0</v>
      </c>
      <c r="FQ129" s="36" t="str">
        <f t="shared" si="456"/>
        <v/>
      </c>
      <c r="FS129" s="36">
        <v>12</v>
      </c>
      <c r="FU129" s="138"/>
      <c r="FW129" s="149"/>
      <c r="GY129" s="183"/>
      <c r="GZ129" s="122"/>
      <c r="HC129" s="177"/>
      <c r="HD129" s="122"/>
      <c r="HF129" s="153"/>
    </row>
    <row r="130" spans="1:214" ht="13.5" hidden="1" customHeight="1" thickTop="1" x14ac:dyDescent="0.25">
      <c r="A130" s="74"/>
      <c r="D130" s="37"/>
      <c r="F130" s="36">
        <f>IF(E46=$BQ$2,1,(IF(E46="",1,(IF(F47="",0,1)))))</f>
        <v>1</v>
      </c>
      <c r="I130" s="36">
        <f>IF(H46=$BQ$2,1,(IF(H46="",1,(IF(I47="",0,1)))))</f>
        <v>1</v>
      </c>
      <c r="L130" s="36">
        <f>IF(K46=$BQ$2,1,(IF(K46="",1,(IF(L47="",0,1)))))</f>
        <v>1</v>
      </c>
      <c r="O130" s="36">
        <f>IF(N46=$BQ$2,1,(IF(N46="",1,(IF(O47="",0,1)))))</f>
        <v>1</v>
      </c>
      <c r="R130" s="36">
        <f>IF(Q46=$BQ$2,1,(IF(Q46="",1,(IF(R47="",0,1)))))</f>
        <v>1</v>
      </c>
      <c r="U130" s="36">
        <f>IF(T46=$BQ$2,1,(IF(T46="",1,(IF(U47="",0,1)))))</f>
        <v>1</v>
      </c>
      <c r="X130" s="36">
        <f>IF(W46=$BQ$2,1,(IF(W46="",1,(IF(X47="",0,1)))))</f>
        <v>1</v>
      </c>
      <c r="AF130" s="36">
        <f t="shared" si="466"/>
        <v>9</v>
      </c>
      <c r="AG130" s="36"/>
      <c r="AH130" s="36">
        <f t="shared" si="467"/>
        <v>999</v>
      </c>
      <c r="AI130" s="36">
        <f t="shared" si="468"/>
        <v>999</v>
      </c>
      <c r="AM130" s="36">
        <f t="shared" si="469"/>
        <v>999</v>
      </c>
      <c r="AN130" s="36">
        <f t="shared" si="470"/>
        <v>999</v>
      </c>
      <c r="AR130" s="36">
        <f t="shared" si="471"/>
        <v>999</v>
      </c>
      <c r="AS130" s="36">
        <f t="shared" si="472"/>
        <v>999</v>
      </c>
      <c r="AW130" s="36">
        <f t="shared" si="473"/>
        <v>999</v>
      </c>
      <c r="AX130" s="36">
        <f t="shared" si="474"/>
        <v>999</v>
      </c>
      <c r="BB130" s="36">
        <f t="shared" si="475"/>
        <v>999</v>
      </c>
      <c r="BC130" s="36">
        <f t="shared" si="476"/>
        <v>999</v>
      </c>
      <c r="BT130" s="36">
        <f t="shared" si="459"/>
        <v>13</v>
      </c>
      <c r="BU130" s="138">
        <v>13</v>
      </c>
      <c r="BV130" s="36">
        <v>13</v>
      </c>
      <c r="BW130" s="36">
        <v>13</v>
      </c>
      <c r="BX130" s="36">
        <v>13</v>
      </c>
      <c r="BY130" s="36">
        <v>13</v>
      </c>
      <c r="BZ130" s="36">
        <v>13</v>
      </c>
      <c r="CA130" s="36">
        <v>13</v>
      </c>
      <c r="CB130" s="36">
        <v>13</v>
      </c>
      <c r="CU130" s="149"/>
      <c r="DP130" s="36">
        <f t="shared" si="433"/>
        <v>0</v>
      </c>
      <c r="DR130" s="138" t="str">
        <f t="shared" si="434"/>
        <v/>
      </c>
      <c r="DS130" s="36" t="str">
        <f t="shared" si="435"/>
        <v/>
      </c>
      <c r="DU130" s="296">
        <f t="shared" si="436"/>
        <v>0</v>
      </c>
      <c r="DV130" s="296"/>
      <c r="DW130" s="296"/>
      <c r="DX130" s="296">
        <f t="shared" si="437"/>
        <v>10000000000.000999</v>
      </c>
      <c r="DY130" s="296"/>
      <c r="DZ130" s="296"/>
      <c r="EA130" s="53">
        <f t="shared" si="438"/>
        <v>15</v>
      </c>
      <c r="EB130" s="296">
        <f t="shared" si="439"/>
        <v>10000000000.000999</v>
      </c>
      <c r="EC130" s="296"/>
      <c r="ED130" s="296"/>
      <c r="EF130" s="296">
        <f t="shared" si="440"/>
        <v>10000000000.000999</v>
      </c>
      <c r="EG130" s="296"/>
      <c r="EH130" s="296"/>
      <c r="EI130" s="134"/>
      <c r="EJ130" s="36">
        <f t="shared" si="441"/>
        <v>0</v>
      </c>
      <c r="EK130" s="36">
        <f t="shared" si="442"/>
        <v>15</v>
      </c>
      <c r="EM130" s="36">
        <f t="shared" si="478"/>
        <v>13</v>
      </c>
      <c r="EN130" s="149"/>
      <c r="EO130" s="398">
        <f t="shared" si="444"/>
        <v>0</v>
      </c>
      <c r="EP130" s="399"/>
      <c r="EQ130" s="53">
        <f t="shared" si="460"/>
        <v>0</v>
      </c>
      <c r="ER130" s="36">
        <f t="shared" si="445"/>
        <v>1</v>
      </c>
      <c r="ES130" s="36">
        <f t="shared" si="477"/>
        <v>99</v>
      </c>
      <c r="ET130" s="36">
        <f t="shared" si="461"/>
        <v>99</v>
      </c>
      <c r="EU130" s="36">
        <f t="shared" si="446"/>
        <v>99</v>
      </c>
      <c r="EW130" s="323">
        <f t="shared" si="447"/>
        <v>19999</v>
      </c>
      <c r="EX130" s="323"/>
      <c r="EZ130" s="323">
        <f>IF(EM130&gt;32,(10000+($EU$149)*100+$ES$149),(SMALL($EW$118:$EX$149,EM130)))</f>
        <v>19999</v>
      </c>
      <c r="FA130" s="323"/>
      <c r="FC130" s="36">
        <f t="shared" si="449"/>
        <v>5</v>
      </c>
      <c r="FF130" s="36">
        <f t="shared" si="450"/>
        <v>99</v>
      </c>
      <c r="FG130" s="36">
        <f>(VALUE(MID(EZ130,FC130-1,2)))</f>
        <v>99</v>
      </c>
      <c r="FI130" s="36">
        <f t="shared" si="451"/>
        <v>0</v>
      </c>
      <c r="FJ130" s="36" t="str">
        <f>IF(AD31="","",$FJ$115)</f>
        <v/>
      </c>
      <c r="FK130" s="36" t="str">
        <f t="shared" si="452"/>
        <v/>
      </c>
      <c r="FL130" s="36" t="str">
        <f t="shared" si="453"/>
        <v/>
      </c>
      <c r="FM130" s="36" t="str">
        <f t="shared" si="454"/>
        <v/>
      </c>
      <c r="FN130" s="36" t="str">
        <f t="shared" si="455"/>
        <v/>
      </c>
      <c r="FP130" s="36">
        <f t="shared" si="465"/>
        <v>0</v>
      </c>
      <c r="FQ130" s="36" t="str">
        <f t="shared" si="456"/>
        <v/>
      </c>
      <c r="FS130" s="36">
        <v>13</v>
      </c>
      <c r="FU130" s="138">
        <f>FU128+1</f>
        <v>7</v>
      </c>
      <c r="FW130" s="149" t="str">
        <f>FQ124</f>
        <v/>
      </c>
      <c r="GC130" s="200" t="str">
        <f>IF(AC5="","",(IF(GC127=$GC$123,"",GC127)))</f>
        <v/>
      </c>
      <c r="GD130" s="80" t="str">
        <f>IF(AC5="","",(IF(GD127=$GC$123,"",GD127)))</f>
        <v/>
      </c>
      <c r="GE130" s="80"/>
      <c r="GF130" s="80" t="str">
        <f>IF(AC5="","",(IF(GF127=$GC$123,"",GF127)))</f>
        <v/>
      </c>
      <c r="GG130" s="80" t="str">
        <f>IF(AC5="","",(IF(GG127=$GC$123,"",GG127)))</f>
        <v/>
      </c>
      <c r="GH130" s="80"/>
      <c r="GI130" s="80" t="str">
        <f>IF(AC5="","",(IF(GI127=$GC$123,"",GI127)))</f>
        <v/>
      </c>
      <c r="GJ130" s="197" t="str">
        <f>IF(AC5="","",(IF(GJ127=$GC$123,"",GJ127)))</f>
        <v/>
      </c>
      <c r="GY130" s="183"/>
      <c r="GZ130" s="122"/>
      <c r="HC130" s="177" t="str">
        <f>GY105</f>
        <v/>
      </c>
      <c r="HD130" s="122">
        <f>HD128+1</f>
        <v>26</v>
      </c>
      <c r="HF130" s="153" t="str">
        <f>HB105</f>
        <v/>
      </c>
    </row>
    <row r="131" spans="1:214" ht="13.5" hidden="1" customHeight="1" thickBot="1" x14ac:dyDescent="0.3">
      <c r="A131" s="74"/>
      <c r="D131" s="37">
        <v>21</v>
      </c>
      <c r="F131" s="36">
        <f>IF(E48=$BQ$2,1,(IF(E48="",1,(IF(F48="",0,1)))))</f>
        <v>1</v>
      </c>
      <c r="I131" s="36">
        <f>IF(H48=$BQ$2,1,(IF(H48="",1,(IF(I48="",0,1)))))</f>
        <v>1</v>
      </c>
      <c r="L131" s="36">
        <f>IF(K48=$BQ$2,1,(IF(K48="",1,(IF(L48="",0,1)))))</f>
        <v>1</v>
      </c>
      <c r="O131" s="36">
        <f>IF(N48=$BQ$2,1,(IF(N48="",1,(IF(O48="",0,1)))))</f>
        <v>1</v>
      </c>
      <c r="R131" s="36">
        <f>IF(Q48=$BQ$2,1,(IF(Q48="",1,(IF(R48="",0,1)))))</f>
        <v>1</v>
      </c>
      <c r="U131" s="36">
        <f>IF(T48=$BQ$2,1,(IF(T48="",1,(IF(U48="",0,1)))))</f>
        <v>1</v>
      </c>
      <c r="X131" s="36">
        <f>IF(W48=$BQ$2,1,(IF(W48="",1,(IF(X48="",0,1)))))</f>
        <v>1</v>
      </c>
      <c r="AF131" s="36">
        <f t="shared" si="466"/>
        <v>10</v>
      </c>
      <c r="AG131" s="36"/>
      <c r="AH131" s="36">
        <f t="shared" si="467"/>
        <v>999</v>
      </c>
      <c r="AI131" s="36">
        <f t="shared" si="468"/>
        <v>999</v>
      </c>
      <c r="AM131" s="36">
        <f t="shared" si="469"/>
        <v>999</v>
      </c>
      <c r="AN131" s="36">
        <f t="shared" si="470"/>
        <v>999</v>
      </c>
      <c r="AR131" s="36">
        <f t="shared" si="471"/>
        <v>999</v>
      </c>
      <c r="AS131" s="36">
        <f t="shared" si="472"/>
        <v>999</v>
      </c>
      <c r="AW131" s="36">
        <f t="shared" si="473"/>
        <v>999</v>
      </c>
      <c r="AX131" s="36">
        <f t="shared" si="474"/>
        <v>999</v>
      </c>
      <c r="BB131" s="36">
        <f t="shared" si="475"/>
        <v>999</v>
      </c>
      <c r="BC131" s="36">
        <f t="shared" si="476"/>
        <v>999</v>
      </c>
      <c r="BT131" s="36">
        <f t="shared" si="459"/>
        <v>14</v>
      </c>
      <c r="BU131" s="138">
        <v>14</v>
      </c>
      <c r="BV131" s="36">
        <v>14</v>
      </c>
      <c r="BW131" s="36">
        <v>14</v>
      </c>
      <c r="BX131" s="36">
        <v>14</v>
      </c>
      <c r="BY131" s="36">
        <v>14</v>
      </c>
      <c r="BZ131" s="36">
        <v>14</v>
      </c>
      <c r="CU131" s="149"/>
      <c r="DP131" s="36">
        <f t="shared" si="433"/>
        <v>0</v>
      </c>
      <c r="DR131" s="138" t="str">
        <f t="shared" si="434"/>
        <v/>
      </c>
      <c r="DS131" s="36" t="str">
        <f t="shared" si="435"/>
        <v/>
      </c>
      <c r="DU131" s="296">
        <f t="shared" si="436"/>
        <v>0</v>
      </c>
      <c r="DV131" s="296"/>
      <c r="DW131" s="296"/>
      <c r="DX131" s="296">
        <f t="shared" si="437"/>
        <v>10000000000.000999</v>
      </c>
      <c r="DY131" s="296"/>
      <c r="DZ131" s="296"/>
      <c r="EA131" s="53">
        <f t="shared" si="438"/>
        <v>15</v>
      </c>
      <c r="EB131" s="296">
        <f t="shared" si="439"/>
        <v>10000000000.000999</v>
      </c>
      <c r="EC131" s="296"/>
      <c r="ED131" s="296"/>
      <c r="EF131" s="296">
        <f t="shared" si="440"/>
        <v>10000000000.000999</v>
      </c>
      <c r="EG131" s="296"/>
      <c r="EH131" s="296"/>
      <c r="EI131" s="134"/>
      <c r="EJ131" s="36">
        <f t="shared" si="441"/>
        <v>0</v>
      </c>
      <c r="EK131" s="36">
        <f t="shared" si="442"/>
        <v>15</v>
      </c>
      <c r="EM131" s="36">
        <f t="shared" si="478"/>
        <v>14</v>
      </c>
      <c r="EN131" s="149"/>
      <c r="EO131" s="398">
        <f t="shared" si="444"/>
        <v>0</v>
      </c>
      <c r="EP131" s="399"/>
      <c r="EQ131" s="53">
        <f t="shared" si="460"/>
        <v>0</v>
      </c>
      <c r="ER131" s="36">
        <f t="shared" si="445"/>
        <v>1</v>
      </c>
      <c r="ES131" s="36">
        <f t="shared" si="477"/>
        <v>99</v>
      </c>
      <c r="ET131" s="36">
        <f t="shared" si="461"/>
        <v>99</v>
      </c>
      <c r="EU131" s="36">
        <f t="shared" si="446"/>
        <v>99</v>
      </c>
      <c r="EW131" s="323">
        <f t="shared" si="447"/>
        <v>19999</v>
      </c>
      <c r="EX131" s="323"/>
      <c r="EZ131" s="323">
        <f t="shared" si="448"/>
        <v>19999</v>
      </c>
      <c r="FA131" s="323"/>
      <c r="FC131" s="36">
        <f t="shared" si="449"/>
        <v>5</v>
      </c>
      <c r="FF131" s="36">
        <f t="shared" si="450"/>
        <v>99</v>
      </c>
      <c r="FG131" s="36">
        <f t="shared" si="464"/>
        <v>99</v>
      </c>
      <c r="FI131" s="36">
        <f t="shared" si="451"/>
        <v>0</v>
      </c>
      <c r="FJ131" s="36" t="str">
        <f>IF(AD33="","",$FJ$115)</f>
        <v/>
      </c>
      <c r="FK131" s="36" t="str">
        <f t="shared" si="452"/>
        <v/>
      </c>
      <c r="FL131" s="36" t="str">
        <f t="shared" si="453"/>
        <v/>
      </c>
      <c r="FM131" s="36" t="str">
        <f t="shared" si="454"/>
        <v/>
      </c>
      <c r="FN131" s="36" t="str">
        <f t="shared" si="455"/>
        <v/>
      </c>
      <c r="FP131" s="36">
        <f t="shared" si="465"/>
        <v>0</v>
      </c>
      <c r="FQ131" s="36" t="str">
        <f t="shared" si="456"/>
        <v/>
      </c>
      <c r="FS131" s="36">
        <v>14</v>
      </c>
      <c r="FU131" s="138"/>
      <c r="FW131" s="149"/>
      <c r="GC131" s="204" t="str">
        <f>IF(AC5="","",(IF(GC128=$GC$123,"",GC128)))</f>
        <v/>
      </c>
      <c r="GD131" s="81" t="str">
        <f>IF(AC5="","",(IF(GD128=$GC$123,"",GD128)))</f>
        <v/>
      </c>
      <c r="GE131" s="81"/>
      <c r="GF131" s="81" t="str">
        <f>IF(AC5="","",(IF(GF128=$GC$123,"",GF128)))</f>
        <v/>
      </c>
      <c r="GG131" s="81" t="str">
        <f>IF(AC5="","",(IF(GG128=$GC$123,"",GG128)))</f>
        <v/>
      </c>
      <c r="GH131" s="81"/>
      <c r="GI131" s="81" t="str">
        <f>IF(AC5="","",(IF(GI128=$GC$123,"",GI128)))</f>
        <v/>
      </c>
      <c r="GJ131" s="198" t="str">
        <f>IF(AC5="","",(IF(GJ128=$GC$123,"",GJ128)))</f>
        <v/>
      </c>
      <c r="GY131" s="183"/>
      <c r="GZ131" s="122"/>
      <c r="HC131" s="177"/>
      <c r="HD131" s="122"/>
      <c r="HF131" s="153"/>
    </row>
    <row r="132" spans="1:214" ht="13.5" hidden="1" customHeight="1" thickTop="1" x14ac:dyDescent="0.25">
      <c r="A132" s="74"/>
      <c r="D132" s="37"/>
      <c r="F132" s="36">
        <f>IF(E48=$BQ$2,1,(IF(E48="",1,(IF(F49="",0,1)))))</f>
        <v>1</v>
      </c>
      <c r="I132" s="36">
        <f>IF(H48=$BQ$2,1,(IF(H48="",1,(IF(I49="",0,1)))))</f>
        <v>1</v>
      </c>
      <c r="L132" s="36">
        <f>IF(K48=$BQ$2,1,(IF(K48="",1,(IF(L49="",0,1)))))</f>
        <v>1</v>
      </c>
      <c r="O132" s="36">
        <f>IF(N48=$BQ$2,1,(IF(N48="",1,(IF(O49="",0,1)))))</f>
        <v>1</v>
      </c>
      <c r="R132" s="36">
        <f>IF(Q48=$BQ$2,1,(IF(Q48="",1,(IF(R49="",0,1)))))</f>
        <v>1</v>
      </c>
      <c r="U132" s="36">
        <f>IF(T48=$BQ$2,1,(IF(T48="",1,(IF(U49="",0,1)))))</f>
        <v>1</v>
      </c>
      <c r="X132" s="36">
        <f>IF(W48=$BQ$2,1,(IF(W48="",1,(IF(X49="",0,1)))))</f>
        <v>1</v>
      </c>
      <c r="AF132" s="36">
        <f t="shared" si="466"/>
        <v>11</v>
      </c>
      <c r="AG132" s="36"/>
      <c r="AH132" s="36">
        <f t="shared" si="467"/>
        <v>999</v>
      </c>
      <c r="AI132" s="36">
        <f t="shared" si="468"/>
        <v>999</v>
      </c>
      <c r="AM132" s="36">
        <f t="shared" si="469"/>
        <v>999</v>
      </c>
      <c r="AN132" s="36">
        <f t="shared" si="470"/>
        <v>999</v>
      </c>
      <c r="AR132" s="36">
        <f t="shared" si="471"/>
        <v>999</v>
      </c>
      <c r="AS132" s="36">
        <f t="shared" si="472"/>
        <v>999</v>
      </c>
      <c r="AW132" s="36">
        <f t="shared" si="473"/>
        <v>999</v>
      </c>
      <c r="AX132" s="36">
        <f t="shared" si="474"/>
        <v>999</v>
      </c>
      <c r="BB132" s="36">
        <f t="shared" si="475"/>
        <v>999</v>
      </c>
      <c r="BC132" s="36">
        <f t="shared" si="476"/>
        <v>999</v>
      </c>
      <c r="BT132" s="36">
        <f t="shared" si="459"/>
        <v>15</v>
      </c>
      <c r="BU132" s="138">
        <v>15</v>
      </c>
      <c r="BV132" s="36">
        <v>15</v>
      </c>
      <c r="BW132" s="36">
        <v>15</v>
      </c>
      <c r="BX132" s="36">
        <v>15</v>
      </c>
      <c r="CU132" s="149"/>
      <c r="DP132" s="36">
        <f t="shared" si="433"/>
        <v>0</v>
      </c>
      <c r="DR132" s="138" t="str">
        <f t="shared" si="434"/>
        <v/>
      </c>
      <c r="DS132" s="36" t="str">
        <f t="shared" si="435"/>
        <v/>
      </c>
      <c r="DU132" s="296">
        <f t="shared" si="436"/>
        <v>0</v>
      </c>
      <c r="DV132" s="296"/>
      <c r="DW132" s="296"/>
      <c r="DX132" s="296">
        <f t="shared" si="437"/>
        <v>10000000000.000999</v>
      </c>
      <c r="DY132" s="296"/>
      <c r="DZ132" s="296"/>
      <c r="EA132" s="53">
        <f t="shared" si="438"/>
        <v>15</v>
      </c>
      <c r="EB132" s="296">
        <f t="shared" si="439"/>
        <v>10000000000.000999</v>
      </c>
      <c r="EC132" s="296"/>
      <c r="ED132" s="296"/>
      <c r="EF132" s="296">
        <f t="shared" si="440"/>
        <v>10000000000.000999</v>
      </c>
      <c r="EG132" s="296"/>
      <c r="EH132" s="296"/>
      <c r="EI132" s="134"/>
      <c r="EJ132" s="36">
        <f t="shared" si="441"/>
        <v>0</v>
      </c>
      <c r="EK132" s="36">
        <f t="shared" si="442"/>
        <v>15</v>
      </c>
      <c r="EM132" s="36">
        <f t="shared" si="478"/>
        <v>15</v>
      </c>
      <c r="EN132" s="149"/>
      <c r="EO132" s="398">
        <f t="shared" si="444"/>
        <v>0</v>
      </c>
      <c r="EP132" s="399"/>
      <c r="EQ132" s="53">
        <f t="shared" si="460"/>
        <v>0</v>
      </c>
      <c r="ER132" s="36">
        <f t="shared" si="445"/>
        <v>1</v>
      </c>
      <c r="ES132" s="36">
        <f t="shared" si="477"/>
        <v>99</v>
      </c>
      <c r="ET132" s="36">
        <f t="shared" si="461"/>
        <v>99</v>
      </c>
      <c r="EU132" s="36">
        <f t="shared" si="446"/>
        <v>99</v>
      </c>
      <c r="EW132" s="323">
        <f t="shared" si="447"/>
        <v>19999</v>
      </c>
      <c r="EX132" s="323"/>
      <c r="EZ132" s="323">
        <f t="shared" si="448"/>
        <v>19999</v>
      </c>
      <c r="FA132" s="323"/>
      <c r="FC132" s="36">
        <f t="shared" si="449"/>
        <v>5</v>
      </c>
      <c r="FF132" s="36">
        <f t="shared" si="450"/>
        <v>99</v>
      </c>
      <c r="FG132" s="36">
        <f t="shared" si="464"/>
        <v>99</v>
      </c>
      <c r="FI132" s="36">
        <f t="shared" si="451"/>
        <v>0</v>
      </c>
      <c r="FJ132" s="36" t="str">
        <f>IF(AD35="","",$FJ$115)</f>
        <v/>
      </c>
      <c r="FK132" s="36" t="str">
        <f t="shared" si="452"/>
        <v/>
      </c>
      <c r="FL132" s="36" t="str">
        <f t="shared" si="453"/>
        <v/>
      </c>
      <c r="FM132" s="36" t="str">
        <f t="shared" si="454"/>
        <v/>
      </c>
      <c r="FN132" s="36" t="str">
        <f t="shared" si="455"/>
        <v/>
      </c>
      <c r="FP132" s="36">
        <f t="shared" si="465"/>
        <v>0</v>
      </c>
      <c r="FQ132" s="36" t="str">
        <f t="shared" si="456"/>
        <v/>
      </c>
      <c r="FS132" s="36">
        <v>15</v>
      </c>
      <c r="FU132" s="138">
        <f>FU130+1</f>
        <v>8</v>
      </c>
      <c r="FW132" s="149" t="str">
        <f>FQ125</f>
        <v/>
      </c>
      <c r="GY132" s="183"/>
      <c r="GZ132" s="122"/>
      <c r="HC132" s="177" t="str">
        <f>GY106</f>
        <v/>
      </c>
      <c r="HD132" s="122">
        <f>HD130+1</f>
        <v>27</v>
      </c>
      <c r="HF132" s="153" t="str">
        <f>HB106</f>
        <v/>
      </c>
    </row>
    <row r="133" spans="1:214" ht="12.75" hidden="1" customHeight="1" x14ac:dyDescent="0.25">
      <c r="A133" s="74"/>
      <c r="D133" s="37">
        <v>22</v>
      </c>
      <c r="F133" s="36">
        <f>IF(E50=$BQ$2,1,(IF(E50="",1,(IF(F50="",0,1)))))</f>
        <v>1</v>
      </c>
      <c r="I133" s="36">
        <f>IF(H50=$BQ$2,1,(IF(H50="",1,(IF(I50="",0,1)))))</f>
        <v>1</v>
      </c>
      <c r="L133" s="36">
        <f>IF(K50=$BQ$2,1,(IF(K50="",1,(IF(L50="",0,1)))))</f>
        <v>1</v>
      </c>
      <c r="O133" s="36">
        <f>IF(N50=$BQ$2,1,(IF(N50="",1,(IF(O50="",0,1)))))</f>
        <v>1</v>
      </c>
      <c r="R133" s="36">
        <f>IF(Q50=$BQ$2,1,(IF(Q50="",1,(IF(R50="",0,1)))))</f>
        <v>1</v>
      </c>
      <c r="U133" s="36">
        <f>IF(T50=$BQ$2,1,(IF(T50="",1,(IF(U50="",0,1)))))</f>
        <v>1</v>
      </c>
      <c r="X133" s="36">
        <f>IF(W50=$BQ$2,1,(IF(W50="",1,(IF(X50="",0,1)))))</f>
        <v>1</v>
      </c>
      <c r="AF133" s="36">
        <f t="shared" si="466"/>
        <v>12</v>
      </c>
      <c r="AG133" s="36"/>
      <c r="AH133" s="36">
        <f t="shared" si="467"/>
        <v>999</v>
      </c>
      <c r="AI133" s="36">
        <f t="shared" si="468"/>
        <v>999</v>
      </c>
      <c r="AM133" s="36">
        <f t="shared" si="469"/>
        <v>999</v>
      </c>
      <c r="AN133" s="36">
        <f t="shared" si="470"/>
        <v>999</v>
      </c>
      <c r="AR133" s="36">
        <f t="shared" si="471"/>
        <v>999</v>
      </c>
      <c r="AS133" s="36">
        <f t="shared" si="472"/>
        <v>999</v>
      </c>
      <c r="AW133" s="36">
        <f t="shared" si="473"/>
        <v>999</v>
      </c>
      <c r="AX133" s="36">
        <f t="shared" si="474"/>
        <v>999</v>
      </c>
      <c r="BB133" s="36">
        <f t="shared" si="475"/>
        <v>999</v>
      </c>
      <c r="BC133" s="36">
        <f t="shared" si="476"/>
        <v>999</v>
      </c>
      <c r="BT133" s="36">
        <f t="shared" si="459"/>
        <v>16</v>
      </c>
      <c r="BU133" s="138">
        <v>16</v>
      </c>
      <c r="BV133" s="36">
        <v>16</v>
      </c>
      <c r="CU133" s="149"/>
      <c r="DP133" s="36">
        <f t="shared" si="433"/>
        <v>0</v>
      </c>
      <c r="DR133" s="138" t="str">
        <f t="shared" si="434"/>
        <v/>
      </c>
      <c r="DS133" s="36" t="str">
        <f t="shared" si="435"/>
        <v/>
      </c>
      <c r="DU133" s="296">
        <f t="shared" si="436"/>
        <v>0</v>
      </c>
      <c r="DV133" s="296"/>
      <c r="DW133" s="296"/>
      <c r="DX133" s="296">
        <f t="shared" si="437"/>
        <v>10000000000.000999</v>
      </c>
      <c r="DY133" s="296"/>
      <c r="DZ133" s="296"/>
      <c r="EA133" s="53">
        <f t="shared" si="438"/>
        <v>15</v>
      </c>
      <c r="EB133" s="296">
        <f t="shared" si="439"/>
        <v>10000000000.000999</v>
      </c>
      <c r="EC133" s="296"/>
      <c r="ED133" s="296"/>
      <c r="EF133" s="296">
        <f t="shared" si="440"/>
        <v>10000000000.000999</v>
      </c>
      <c r="EG133" s="296"/>
      <c r="EH133" s="296"/>
      <c r="EI133" s="134"/>
      <c r="EJ133" s="36">
        <f t="shared" si="441"/>
        <v>0</v>
      </c>
      <c r="EK133" s="36">
        <f t="shared" si="442"/>
        <v>15</v>
      </c>
      <c r="EM133" s="36">
        <f t="shared" si="478"/>
        <v>16</v>
      </c>
      <c r="EN133" s="149"/>
      <c r="EO133" s="398">
        <f t="shared" si="444"/>
        <v>0</v>
      </c>
      <c r="EP133" s="399"/>
      <c r="EQ133" s="53">
        <f t="shared" si="460"/>
        <v>0</v>
      </c>
      <c r="ER133" s="36">
        <f t="shared" si="445"/>
        <v>1</v>
      </c>
      <c r="ES133" s="36">
        <f t="shared" si="477"/>
        <v>99</v>
      </c>
      <c r="ET133" s="36">
        <f t="shared" si="461"/>
        <v>99</v>
      </c>
      <c r="EU133" s="36">
        <f t="shared" si="446"/>
        <v>99</v>
      </c>
      <c r="EW133" s="323">
        <f t="shared" si="447"/>
        <v>19999</v>
      </c>
      <c r="EX133" s="323"/>
      <c r="EZ133" s="323">
        <f t="shared" si="448"/>
        <v>19999</v>
      </c>
      <c r="FA133" s="323"/>
      <c r="FC133" s="36">
        <f t="shared" si="449"/>
        <v>5</v>
      </c>
      <c r="FF133" s="36">
        <f t="shared" si="450"/>
        <v>99</v>
      </c>
      <c r="FG133" s="36">
        <f t="shared" si="464"/>
        <v>99</v>
      </c>
      <c r="FI133" s="36">
        <f t="shared" si="451"/>
        <v>0</v>
      </c>
      <c r="FJ133" s="36" t="str">
        <f>IF(AD37="","",$FJ$115)</f>
        <v/>
      </c>
      <c r="FK133" s="36" t="str">
        <f t="shared" si="452"/>
        <v/>
      </c>
      <c r="FL133" s="36" t="str">
        <f t="shared" si="453"/>
        <v/>
      </c>
      <c r="FM133" s="36" t="str">
        <f t="shared" si="454"/>
        <v/>
      </c>
      <c r="FN133" s="36" t="str">
        <f t="shared" si="455"/>
        <v/>
      </c>
      <c r="FP133" s="36">
        <f t="shared" si="465"/>
        <v>0</v>
      </c>
      <c r="FQ133" s="36" t="str">
        <f t="shared" si="456"/>
        <v/>
      </c>
      <c r="FS133" s="36">
        <v>16</v>
      </c>
      <c r="FU133" s="138"/>
      <c r="FW133" s="149"/>
      <c r="GY133" s="183"/>
      <c r="GZ133" s="122"/>
      <c r="HC133" s="177"/>
      <c r="HD133" s="122"/>
      <c r="HF133" s="153"/>
    </row>
    <row r="134" spans="1:214" ht="12.75" hidden="1" customHeight="1" x14ac:dyDescent="0.25">
      <c r="A134" s="74"/>
      <c r="D134" s="37"/>
      <c r="F134" s="36">
        <f>IF(E50=$BQ$2,1,(IF(E50="",1,(IF(F51="",0,1)))))</f>
        <v>1</v>
      </c>
      <c r="I134" s="36">
        <f>IF(H50=$BQ$2,1,(IF(H50="",1,(IF(I51="",0,1)))))</f>
        <v>1</v>
      </c>
      <c r="L134" s="36">
        <f>IF(K50=$BQ$2,1,(IF(K50="",1,(IF(L51="",0,1)))))</f>
        <v>1</v>
      </c>
      <c r="O134" s="36">
        <f>IF(N50=$BQ$2,1,(IF(N50="",1,(IF(O51="",0,1)))))</f>
        <v>1</v>
      </c>
      <c r="R134" s="36">
        <f>IF(Q50=$BQ$2,1,(IF(Q50="",1,(IF(R51="",0,1)))))</f>
        <v>1</v>
      </c>
      <c r="U134" s="36">
        <f>IF(T50=$BQ$2,1,(IF(T50="",1,(IF(U51="",0,1)))))</f>
        <v>1</v>
      </c>
      <c r="X134" s="36">
        <f>IF(W50=$BQ$2,1,(IF(W50="",1,(IF(X51="",0,1)))))</f>
        <v>1</v>
      </c>
      <c r="AF134" s="36">
        <f t="shared" si="466"/>
        <v>13</v>
      </c>
      <c r="AG134" s="36"/>
      <c r="AH134" s="36">
        <f t="shared" si="467"/>
        <v>999</v>
      </c>
      <c r="AI134" s="36">
        <f t="shared" si="468"/>
        <v>999</v>
      </c>
      <c r="AM134" s="36">
        <f t="shared" si="469"/>
        <v>999</v>
      </c>
      <c r="AN134" s="36">
        <f t="shared" si="470"/>
        <v>999</v>
      </c>
      <c r="AR134" s="36">
        <f t="shared" si="471"/>
        <v>999</v>
      </c>
      <c r="AS134" s="36">
        <f t="shared" si="472"/>
        <v>999</v>
      </c>
      <c r="AW134" s="36">
        <f t="shared" si="473"/>
        <v>999</v>
      </c>
      <c r="AX134" s="36">
        <f t="shared" si="474"/>
        <v>999</v>
      </c>
      <c r="BB134" s="36">
        <f t="shared" si="475"/>
        <v>999</v>
      </c>
      <c r="BC134" s="36">
        <f t="shared" si="476"/>
        <v>999</v>
      </c>
      <c r="BT134" s="36">
        <f t="shared" si="459"/>
        <v>17</v>
      </c>
      <c r="BU134" s="138">
        <v>17</v>
      </c>
      <c r="BV134" s="36">
        <v>17</v>
      </c>
      <c r="BW134" s="36">
        <v>16</v>
      </c>
      <c r="BX134" s="36">
        <v>16</v>
      </c>
      <c r="BY134" s="36">
        <v>15</v>
      </c>
      <c r="BZ134" s="36">
        <v>15</v>
      </c>
      <c r="CA134" s="36">
        <v>14</v>
      </c>
      <c r="CB134" s="36">
        <v>14</v>
      </c>
      <c r="CC134" s="36">
        <v>13</v>
      </c>
      <c r="CD134" s="36">
        <v>13</v>
      </c>
      <c r="CE134" s="36">
        <v>12</v>
      </c>
      <c r="CF134" s="36">
        <v>12</v>
      </c>
      <c r="CG134" s="36">
        <v>11</v>
      </c>
      <c r="CH134" s="36">
        <v>11</v>
      </c>
      <c r="CI134" s="36">
        <v>10</v>
      </c>
      <c r="CJ134" s="36">
        <v>10</v>
      </c>
      <c r="CK134" s="36">
        <v>9</v>
      </c>
      <c r="CL134" s="36">
        <v>9</v>
      </c>
      <c r="CM134" s="36">
        <v>8</v>
      </c>
      <c r="CN134" s="36">
        <v>8</v>
      </c>
      <c r="CO134" s="36">
        <v>7</v>
      </c>
      <c r="CP134" s="36">
        <v>7</v>
      </c>
      <c r="CQ134" s="36">
        <v>6</v>
      </c>
      <c r="CR134" s="36">
        <v>6</v>
      </c>
      <c r="CS134" s="36">
        <v>5</v>
      </c>
      <c r="CT134" s="36">
        <v>5</v>
      </c>
      <c r="CU134" s="149">
        <v>4</v>
      </c>
      <c r="DP134" s="36">
        <f t="shared" si="433"/>
        <v>4</v>
      </c>
      <c r="DR134" s="138" t="str">
        <f t="shared" si="434"/>
        <v/>
      </c>
      <c r="DS134" s="36" t="str">
        <f t="shared" si="435"/>
        <v/>
      </c>
      <c r="DU134" s="296">
        <f t="shared" si="436"/>
        <v>0</v>
      </c>
      <c r="DV134" s="296"/>
      <c r="DW134" s="296"/>
      <c r="DX134" s="296">
        <f t="shared" si="437"/>
        <v>29050400095.041</v>
      </c>
      <c r="DY134" s="296"/>
      <c r="DZ134" s="296"/>
      <c r="EA134" s="53">
        <f t="shared" si="438"/>
        <v>15</v>
      </c>
      <c r="EB134" s="296">
        <f t="shared" si="439"/>
        <v>29050400095.041</v>
      </c>
      <c r="EC134" s="296"/>
      <c r="ED134" s="296"/>
      <c r="EF134" s="296">
        <f t="shared" si="440"/>
        <v>10000000000.000999</v>
      </c>
      <c r="EG134" s="296"/>
      <c r="EH134" s="296"/>
      <c r="EI134" s="134"/>
      <c r="EJ134" s="36">
        <f t="shared" si="441"/>
        <v>0</v>
      </c>
      <c r="EK134" s="36">
        <f t="shared" si="442"/>
        <v>15</v>
      </c>
      <c r="EM134" s="36">
        <f t="shared" si="478"/>
        <v>17</v>
      </c>
      <c r="EN134" s="149"/>
      <c r="EO134" s="398">
        <f t="shared" si="444"/>
        <v>0</v>
      </c>
      <c r="EP134" s="399"/>
      <c r="EQ134" s="53">
        <f t="shared" si="460"/>
        <v>0</v>
      </c>
      <c r="ER134" s="36">
        <f t="shared" si="445"/>
        <v>1</v>
      </c>
      <c r="ES134" s="36">
        <f t="shared" si="477"/>
        <v>99</v>
      </c>
      <c r="ET134" s="36">
        <f t="shared" si="461"/>
        <v>99</v>
      </c>
      <c r="EU134" s="36">
        <f t="shared" si="446"/>
        <v>99</v>
      </c>
      <c r="EW134" s="323">
        <f t="shared" si="447"/>
        <v>19999</v>
      </c>
      <c r="EX134" s="323"/>
      <c r="EZ134" s="323">
        <f t="shared" si="448"/>
        <v>19999</v>
      </c>
      <c r="FA134" s="323"/>
      <c r="FC134" s="36">
        <f t="shared" si="449"/>
        <v>5</v>
      </c>
      <c r="FF134" s="36">
        <f t="shared" si="450"/>
        <v>99</v>
      </c>
      <c r="FG134" s="36">
        <f t="shared" si="464"/>
        <v>99</v>
      </c>
      <c r="FI134" s="36">
        <f t="shared" si="451"/>
        <v>4</v>
      </c>
      <c r="FJ134" s="36" t="str">
        <f>IF(AD40="","",$FJ$115)</f>
        <v/>
      </c>
      <c r="FK134" s="36">
        <f t="shared" si="452"/>
        <v>5</v>
      </c>
      <c r="FL134" s="36" t="str">
        <f t="shared" si="453"/>
        <v/>
      </c>
      <c r="FM134" s="36" t="str">
        <f t="shared" si="454"/>
        <v/>
      </c>
      <c r="FN134" s="36" t="str">
        <f t="shared" si="455"/>
        <v/>
      </c>
      <c r="FP134" s="36">
        <f t="shared" si="465"/>
        <v>5</v>
      </c>
      <c r="FQ134" s="36">
        <f t="shared" si="456"/>
        <v>5</v>
      </c>
      <c r="FS134" s="36">
        <v>17</v>
      </c>
      <c r="FU134" s="138">
        <f>FU132+1</f>
        <v>9</v>
      </c>
      <c r="FW134" s="149" t="str">
        <f>FQ126</f>
        <v/>
      </c>
      <c r="GY134" s="183"/>
      <c r="GZ134" s="122"/>
      <c r="HC134" s="177" t="str">
        <f>GY107</f>
        <v/>
      </c>
      <c r="HD134" s="122">
        <f>HD132+1</f>
        <v>28</v>
      </c>
      <c r="HF134" s="153" t="str">
        <f>HB107</f>
        <v/>
      </c>
    </row>
    <row r="135" spans="1:214" ht="12.75" hidden="1" customHeight="1" x14ac:dyDescent="0.25">
      <c r="A135" s="74"/>
      <c r="D135" s="37">
        <v>23</v>
      </c>
      <c r="F135" s="36">
        <f>IF(E52=$BQ$2,1,(IF(E52="",1,(IF(F52="",0,1)))))</f>
        <v>1</v>
      </c>
      <c r="I135" s="36">
        <f>IF(H52=$BQ$2,1,(IF(H52="",1,(IF(I52="",0,1)))))</f>
        <v>1</v>
      </c>
      <c r="L135" s="36">
        <f>IF(K52=$BQ$2,1,(IF(K52="",1,(IF(L52="",0,1)))))</f>
        <v>1</v>
      </c>
      <c r="O135" s="36">
        <f>IF(N52=$BQ$2,1,(IF(N52="",1,(IF(O52="",0,1)))))</f>
        <v>1</v>
      </c>
      <c r="R135" s="36">
        <f>IF(Q52=$BQ$2,1,(IF(Q52="",1,(IF(R52="",0,1)))))</f>
        <v>1</v>
      </c>
      <c r="U135" s="36">
        <f>IF(T52=$BQ$2,1,(IF(T52="",1,(IF(U52="",0,1)))))</f>
        <v>1</v>
      </c>
      <c r="X135" s="36">
        <f>IF(W52=$BQ$2,1,(IF(W52="",1,(IF(X52="",0,1)))))</f>
        <v>1</v>
      </c>
      <c r="AF135" s="36">
        <f t="shared" si="466"/>
        <v>14</v>
      </c>
      <c r="AG135" s="36"/>
      <c r="AH135" s="36">
        <f t="shared" si="467"/>
        <v>999</v>
      </c>
      <c r="AI135" s="36">
        <f t="shared" si="468"/>
        <v>999</v>
      </c>
      <c r="AM135" s="36">
        <f t="shared" si="469"/>
        <v>999</v>
      </c>
      <c r="AN135" s="36">
        <f t="shared" si="470"/>
        <v>999</v>
      </c>
      <c r="AR135" s="36">
        <f t="shared" si="471"/>
        <v>999</v>
      </c>
      <c r="AS135" s="36">
        <f t="shared" si="472"/>
        <v>999</v>
      </c>
      <c r="AW135" s="36">
        <f t="shared" si="473"/>
        <v>999</v>
      </c>
      <c r="AX135" s="36">
        <f t="shared" si="474"/>
        <v>999</v>
      </c>
      <c r="BB135" s="36">
        <f t="shared" si="475"/>
        <v>999</v>
      </c>
      <c r="BC135" s="36">
        <f t="shared" si="476"/>
        <v>999</v>
      </c>
      <c r="BT135" s="36">
        <f t="shared" si="459"/>
        <v>18</v>
      </c>
      <c r="BU135" s="138">
        <v>18</v>
      </c>
      <c r="BV135" s="36">
        <v>18</v>
      </c>
      <c r="BW135" s="36">
        <v>17</v>
      </c>
      <c r="BX135" s="36">
        <v>17</v>
      </c>
      <c r="BY135" s="36">
        <v>16</v>
      </c>
      <c r="BZ135" s="36">
        <v>16</v>
      </c>
      <c r="CA135" s="36">
        <v>15</v>
      </c>
      <c r="CB135" s="36">
        <v>15</v>
      </c>
      <c r="CC135" s="36">
        <v>14</v>
      </c>
      <c r="CD135" s="36">
        <v>14</v>
      </c>
      <c r="CE135" s="36">
        <v>13</v>
      </c>
      <c r="CF135" s="36">
        <v>13</v>
      </c>
      <c r="CG135" s="36">
        <v>12</v>
      </c>
      <c r="CH135" s="36">
        <v>12</v>
      </c>
      <c r="CI135" s="36">
        <v>11</v>
      </c>
      <c r="CJ135" s="36">
        <v>11</v>
      </c>
      <c r="CK135" s="36">
        <v>10</v>
      </c>
      <c r="CL135" s="36">
        <v>10</v>
      </c>
      <c r="CM135" s="36">
        <v>9</v>
      </c>
      <c r="CN135" s="36">
        <v>9</v>
      </c>
      <c r="CO135" s="36">
        <v>8</v>
      </c>
      <c r="CP135" s="36">
        <v>8</v>
      </c>
      <c r="CQ135" s="36">
        <v>7</v>
      </c>
      <c r="CR135" s="36">
        <v>7</v>
      </c>
      <c r="CS135" s="36">
        <v>6</v>
      </c>
      <c r="CT135" s="36">
        <v>6</v>
      </c>
      <c r="CU135" s="149">
        <v>5</v>
      </c>
      <c r="DP135" s="36">
        <f t="shared" si="433"/>
        <v>5</v>
      </c>
      <c r="DR135" s="138">
        <f t="shared" si="434"/>
        <v>4</v>
      </c>
      <c r="DS135" s="36">
        <f t="shared" si="435"/>
        <v>5</v>
      </c>
      <c r="DU135" s="296">
        <f t="shared" si="436"/>
        <v>50000000005.051003</v>
      </c>
      <c r="DV135" s="296"/>
      <c r="DW135" s="296"/>
      <c r="DX135" s="296">
        <f t="shared" si="437"/>
        <v>39560810094.050995</v>
      </c>
      <c r="DY135" s="296"/>
      <c r="DZ135" s="296"/>
      <c r="EA135" s="53">
        <f t="shared" si="438"/>
        <v>15</v>
      </c>
      <c r="EB135" s="296">
        <f t="shared" si="439"/>
        <v>50000000005.051003</v>
      </c>
      <c r="EC135" s="296"/>
      <c r="ED135" s="296"/>
      <c r="EF135" s="296">
        <f t="shared" si="440"/>
        <v>10000000000.000999</v>
      </c>
      <c r="EG135" s="296"/>
      <c r="EH135" s="296"/>
      <c r="EI135" s="134"/>
      <c r="EJ135" s="36">
        <f t="shared" si="441"/>
        <v>0</v>
      </c>
      <c r="EK135" s="36">
        <f t="shared" si="442"/>
        <v>15</v>
      </c>
      <c r="EM135" s="36">
        <f t="shared" si="478"/>
        <v>18</v>
      </c>
      <c r="EN135" s="149"/>
      <c r="EO135" s="398">
        <f t="shared" si="444"/>
        <v>0</v>
      </c>
      <c r="EP135" s="399"/>
      <c r="EQ135" s="53">
        <f t="shared" si="460"/>
        <v>0</v>
      </c>
      <c r="ER135" s="36">
        <f t="shared" si="445"/>
        <v>1</v>
      </c>
      <c r="ES135" s="36">
        <f t="shared" si="477"/>
        <v>99</v>
      </c>
      <c r="ET135" s="36">
        <f t="shared" si="461"/>
        <v>99</v>
      </c>
      <c r="EU135" s="36">
        <f t="shared" si="446"/>
        <v>99</v>
      </c>
      <c r="EW135" s="323">
        <f t="shared" si="447"/>
        <v>19999</v>
      </c>
      <c r="EX135" s="323"/>
      <c r="EZ135" s="323">
        <f t="shared" si="448"/>
        <v>19999</v>
      </c>
      <c r="FA135" s="323"/>
      <c r="FC135" s="36">
        <f t="shared" si="449"/>
        <v>5</v>
      </c>
      <c r="FF135" s="36">
        <f t="shared" si="450"/>
        <v>99</v>
      </c>
      <c r="FG135" s="36">
        <f t="shared" si="464"/>
        <v>99</v>
      </c>
      <c r="FI135" s="36">
        <f t="shared" si="451"/>
        <v>5</v>
      </c>
      <c r="FJ135" s="36" t="str">
        <f>IF(AD42="","",$FJ$115)</f>
        <v/>
      </c>
      <c r="FK135" s="36">
        <f t="shared" si="452"/>
        <v>4</v>
      </c>
      <c r="FL135" s="36" t="str">
        <f t="shared" si="453"/>
        <v/>
      </c>
      <c r="FM135" s="36" t="str">
        <f t="shared" si="454"/>
        <v/>
      </c>
      <c r="FN135" s="36" t="str">
        <f t="shared" si="455"/>
        <v/>
      </c>
      <c r="FP135" s="36">
        <f t="shared" si="465"/>
        <v>4</v>
      </c>
      <c r="FQ135" s="36">
        <f t="shared" si="456"/>
        <v>4</v>
      </c>
      <c r="FS135" s="36">
        <v>18</v>
      </c>
      <c r="FU135" s="138"/>
      <c r="FW135" s="149"/>
      <c r="GY135" s="183"/>
      <c r="GZ135" s="122"/>
      <c r="HC135" s="177"/>
      <c r="HD135" s="122"/>
      <c r="HF135" s="153"/>
    </row>
    <row r="136" spans="1:214" ht="12.75" hidden="1" customHeight="1" x14ac:dyDescent="0.25">
      <c r="A136" s="74"/>
      <c r="D136" s="37"/>
      <c r="F136" s="36">
        <f>IF(E52=$BQ$2,1,(IF(E52="",1,(IF(F53="",0,1)))))</f>
        <v>1</v>
      </c>
      <c r="I136" s="36">
        <f>IF(H52=$BQ$2,1,(IF(H52="",1,(IF(I53="",0,1)))))</f>
        <v>1</v>
      </c>
      <c r="L136" s="36">
        <f>IF(K52=$BQ$2,1,(IF(K52="",1,(IF(L53="",0,1)))))</f>
        <v>1</v>
      </c>
      <c r="O136" s="36">
        <f>IF(N52=$BQ$2,1,(IF(N52="",1,(IF(O53="",0,1)))))</f>
        <v>1</v>
      </c>
      <c r="R136" s="36">
        <f>IF(Q52=$BQ$2,1,(IF(Q52="",1,(IF(R53="",0,1)))))</f>
        <v>1</v>
      </c>
      <c r="U136" s="36">
        <f>IF(T52=$BQ$2,1,(IF(T52="",1,(IF(U53="",0,1)))))</f>
        <v>1</v>
      </c>
      <c r="X136" s="36">
        <f>IF(W52=$BQ$2,1,(IF(W52="",1,(IF(X53="",0,1)))))</f>
        <v>1</v>
      </c>
      <c r="AF136" s="36">
        <f t="shared" si="466"/>
        <v>15</v>
      </c>
      <c r="AG136" s="36"/>
      <c r="AH136" s="36">
        <f t="shared" si="467"/>
        <v>999</v>
      </c>
      <c r="AI136" s="36">
        <f t="shared" si="468"/>
        <v>999</v>
      </c>
      <c r="AM136" s="36">
        <f t="shared" si="469"/>
        <v>999</v>
      </c>
      <c r="AN136" s="36">
        <f t="shared" si="470"/>
        <v>999</v>
      </c>
      <c r="AR136" s="36">
        <f t="shared" si="471"/>
        <v>999</v>
      </c>
      <c r="AS136" s="36">
        <f t="shared" si="472"/>
        <v>999</v>
      </c>
      <c r="AW136" s="36">
        <f t="shared" si="473"/>
        <v>999</v>
      </c>
      <c r="AX136" s="36">
        <f t="shared" si="474"/>
        <v>999</v>
      </c>
      <c r="BB136" s="36">
        <f t="shared" si="475"/>
        <v>999</v>
      </c>
      <c r="BC136" s="36">
        <f t="shared" si="476"/>
        <v>999</v>
      </c>
      <c r="BT136" s="36">
        <f t="shared" si="459"/>
        <v>19</v>
      </c>
      <c r="BU136" s="138">
        <v>19</v>
      </c>
      <c r="BV136" s="36">
        <v>19</v>
      </c>
      <c r="BW136" s="36">
        <v>18</v>
      </c>
      <c r="BX136" s="36">
        <v>18</v>
      </c>
      <c r="BY136" s="36">
        <v>17</v>
      </c>
      <c r="BZ136" s="36">
        <v>17</v>
      </c>
      <c r="CA136" s="36">
        <v>16</v>
      </c>
      <c r="CB136" s="36">
        <v>16</v>
      </c>
      <c r="CC136" s="36">
        <v>15</v>
      </c>
      <c r="CD136" s="36">
        <v>15</v>
      </c>
      <c r="CE136" s="36">
        <v>14</v>
      </c>
      <c r="CF136" s="36">
        <v>14</v>
      </c>
      <c r="CG136" s="36">
        <v>13</v>
      </c>
      <c r="CH136" s="36">
        <v>13</v>
      </c>
      <c r="CI136" s="36">
        <v>12</v>
      </c>
      <c r="CJ136" s="36">
        <v>12</v>
      </c>
      <c r="CK136" s="36">
        <v>11</v>
      </c>
      <c r="CL136" s="36">
        <v>11</v>
      </c>
      <c r="CM136" s="36">
        <v>10</v>
      </c>
      <c r="CN136" s="36">
        <v>10</v>
      </c>
      <c r="CO136" s="36">
        <v>9</v>
      </c>
      <c r="CP136" s="36">
        <v>9</v>
      </c>
      <c r="CQ136" s="36">
        <v>8</v>
      </c>
      <c r="CR136" s="36">
        <v>8</v>
      </c>
      <c r="CS136" s="36">
        <v>7</v>
      </c>
      <c r="CT136" s="36">
        <v>7</v>
      </c>
      <c r="CU136" s="149">
        <v>6</v>
      </c>
      <c r="DP136" s="36">
        <f t="shared" si="433"/>
        <v>6</v>
      </c>
      <c r="DR136" s="138">
        <f t="shared" si="434"/>
        <v>1</v>
      </c>
      <c r="DS136" s="36">
        <f t="shared" si="435"/>
        <v>6</v>
      </c>
      <c r="DU136" s="296">
        <f t="shared" si="436"/>
        <v>80000000006.061005</v>
      </c>
      <c r="DV136" s="296"/>
      <c r="DW136" s="296"/>
      <c r="DX136" s="296">
        <f t="shared" si="437"/>
        <v>39972410093.061005</v>
      </c>
      <c r="DY136" s="296"/>
      <c r="DZ136" s="296"/>
      <c r="EA136" s="53">
        <f t="shared" si="438"/>
        <v>15</v>
      </c>
      <c r="EB136" s="296">
        <f t="shared" si="439"/>
        <v>80000000006.061005</v>
      </c>
      <c r="EC136" s="296"/>
      <c r="ED136" s="296"/>
      <c r="EF136" s="296">
        <f t="shared" si="440"/>
        <v>10000000000.000999</v>
      </c>
      <c r="EG136" s="296"/>
      <c r="EH136" s="296"/>
      <c r="EI136" s="134"/>
      <c r="EJ136" s="36">
        <f t="shared" si="441"/>
        <v>0</v>
      </c>
      <c r="EK136" s="36">
        <f t="shared" si="442"/>
        <v>15</v>
      </c>
      <c r="EM136" s="36">
        <f t="shared" si="478"/>
        <v>19</v>
      </c>
      <c r="EN136" s="149"/>
      <c r="EO136" s="398">
        <f t="shared" si="444"/>
        <v>0</v>
      </c>
      <c r="EP136" s="399"/>
      <c r="EQ136" s="53">
        <f t="shared" si="460"/>
        <v>0</v>
      </c>
      <c r="ER136" s="36">
        <f t="shared" si="445"/>
        <v>1</v>
      </c>
      <c r="ES136" s="36">
        <f t="shared" si="477"/>
        <v>99</v>
      </c>
      <c r="ET136" s="36">
        <f t="shared" si="461"/>
        <v>99</v>
      </c>
      <c r="EU136" s="36">
        <f t="shared" si="446"/>
        <v>99</v>
      </c>
      <c r="EW136" s="323">
        <f t="shared" si="447"/>
        <v>19999</v>
      </c>
      <c r="EX136" s="323"/>
      <c r="EZ136" s="323">
        <f t="shared" si="448"/>
        <v>19999</v>
      </c>
      <c r="FA136" s="323"/>
      <c r="FC136" s="36">
        <f t="shared" si="449"/>
        <v>5</v>
      </c>
      <c r="FF136" s="36">
        <f t="shared" si="450"/>
        <v>99</v>
      </c>
      <c r="FG136" s="36">
        <f t="shared" si="464"/>
        <v>99</v>
      </c>
      <c r="FI136" s="36">
        <f t="shared" si="451"/>
        <v>6</v>
      </c>
      <c r="FJ136" s="36" t="str">
        <f>IF(AD44="","",$FJ$115)</f>
        <v/>
      </c>
      <c r="FK136" s="36">
        <f t="shared" si="452"/>
        <v>1</v>
      </c>
      <c r="FL136" s="36" t="str">
        <f t="shared" si="453"/>
        <v/>
      </c>
      <c r="FM136" s="36" t="str">
        <f t="shared" si="454"/>
        <v/>
      </c>
      <c r="FN136" s="36" t="str">
        <f t="shared" si="455"/>
        <v/>
      </c>
      <c r="FP136" s="36">
        <f t="shared" si="465"/>
        <v>1</v>
      </c>
      <c r="FQ136" s="36">
        <f t="shared" si="456"/>
        <v>1</v>
      </c>
      <c r="FS136" s="36">
        <v>19</v>
      </c>
      <c r="FU136" s="138">
        <f>FU134+1</f>
        <v>10</v>
      </c>
      <c r="FW136" s="149" t="str">
        <f>FQ127</f>
        <v/>
      </c>
      <c r="GY136" s="183"/>
      <c r="GZ136" s="122"/>
      <c r="HC136" s="177" t="str">
        <f>GY108</f>
        <v/>
      </c>
      <c r="HD136" s="122">
        <f>HD134+1</f>
        <v>29</v>
      </c>
      <c r="HF136" s="153" t="str">
        <f>HB108</f>
        <v/>
      </c>
    </row>
    <row r="137" spans="1:214" ht="12.75" hidden="1" customHeight="1" x14ac:dyDescent="0.25">
      <c r="A137" s="74"/>
      <c r="D137" s="37">
        <v>24</v>
      </c>
      <c r="F137" s="36">
        <f>IF(E54=$BQ$2,1,(IF(E54="",1,(IF(F54="",0,1)))))</f>
        <v>1</v>
      </c>
      <c r="I137" s="36">
        <f>IF(H54=$BQ$2,1,(IF(H54="",1,(IF(I54="",0,1)))))</f>
        <v>1</v>
      </c>
      <c r="L137" s="36">
        <f>IF(K54=$BQ$2,1,(IF(K54="",1,(IF(L54="",0,1)))))</f>
        <v>1</v>
      </c>
      <c r="O137" s="36">
        <f>IF(N54=$BQ$2,1,(IF(N54="",1,(IF(O54="",0,1)))))</f>
        <v>1</v>
      </c>
      <c r="R137" s="36">
        <f>IF(Q54=$BQ$2,1,(IF(Q54="",1,(IF(R54="",0,1)))))</f>
        <v>1</v>
      </c>
      <c r="U137" s="36">
        <f>IF(T54=$BQ$2,1,(IF(T54="",1,(IF(U54="",0,1)))))</f>
        <v>1</v>
      </c>
      <c r="X137" s="36">
        <f>IF(W54=$BQ$2,1,(IF(W54="",1,(IF(X54="",0,1)))))</f>
        <v>1</v>
      </c>
      <c r="AF137" s="36">
        <f t="shared" si="466"/>
        <v>16</v>
      </c>
      <c r="AG137" s="36"/>
      <c r="AH137" s="36">
        <f t="shared" si="467"/>
        <v>999</v>
      </c>
      <c r="AI137" s="36">
        <f t="shared" si="468"/>
        <v>999</v>
      </c>
      <c r="AM137" s="36">
        <f t="shared" si="469"/>
        <v>999</v>
      </c>
      <c r="AN137" s="36">
        <f t="shared" si="470"/>
        <v>999</v>
      </c>
      <c r="AR137" s="36">
        <f t="shared" si="471"/>
        <v>999</v>
      </c>
      <c r="AS137" s="36">
        <f t="shared" si="472"/>
        <v>999</v>
      </c>
      <c r="AW137" s="36">
        <f t="shared" si="473"/>
        <v>999</v>
      </c>
      <c r="AX137" s="36">
        <f t="shared" si="474"/>
        <v>999</v>
      </c>
      <c r="BB137" s="36">
        <f t="shared" si="475"/>
        <v>999</v>
      </c>
      <c r="BC137" s="36">
        <f t="shared" si="476"/>
        <v>999</v>
      </c>
      <c r="BT137" s="36">
        <f t="shared" si="459"/>
        <v>20</v>
      </c>
      <c r="BU137" s="138">
        <v>20</v>
      </c>
      <c r="BV137" s="36">
        <v>20</v>
      </c>
      <c r="BW137" s="36">
        <v>19</v>
      </c>
      <c r="BX137" s="36">
        <v>19</v>
      </c>
      <c r="BY137" s="36">
        <v>18</v>
      </c>
      <c r="BZ137" s="36">
        <v>18</v>
      </c>
      <c r="CA137" s="36">
        <v>17</v>
      </c>
      <c r="CB137" s="36">
        <v>17</v>
      </c>
      <c r="CC137" s="36">
        <v>16</v>
      </c>
      <c r="CD137" s="36">
        <v>16</v>
      </c>
      <c r="CE137" s="36">
        <v>15</v>
      </c>
      <c r="CF137" s="36">
        <v>15</v>
      </c>
      <c r="CG137" s="36">
        <v>14</v>
      </c>
      <c r="CH137" s="36">
        <v>14</v>
      </c>
      <c r="CI137" s="36">
        <v>13</v>
      </c>
      <c r="CJ137" s="36">
        <v>13</v>
      </c>
      <c r="CK137" s="36">
        <v>12</v>
      </c>
      <c r="CL137" s="36">
        <v>12</v>
      </c>
      <c r="CM137" s="36">
        <v>11</v>
      </c>
      <c r="CN137" s="36">
        <v>11</v>
      </c>
      <c r="CO137" s="36">
        <v>10</v>
      </c>
      <c r="CP137" s="36">
        <v>10</v>
      </c>
      <c r="CQ137" s="36">
        <v>9</v>
      </c>
      <c r="CR137" s="36">
        <v>9</v>
      </c>
      <c r="CS137" s="36">
        <v>8</v>
      </c>
      <c r="CU137" s="149"/>
      <c r="DP137" s="36">
        <f t="shared" si="433"/>
        <v>0</v>
      </c>
      <c r="DR137" s="138" t="str">
        <f t="shared" si="434"/>
        <v/>
      </c>
      <c r="DS137" s="36" t="str">
        <f t="shared" si="435"/>
        <v/>
      </c>
      <c r="DU137" s="296">
        <f t="shared" si="436"/>
        <v>0</v>
      </c>
      <c r="DV137" s="296"/>
      <c r="DW137" s="296"/>
      <c r="DX137" s="296">
        <f t="shared" si="437"/>
        <v>10000000000.000999</v>
      </c>
      <c r="DY137" s="296"/>
      <c r="DZ137" s="296"/>
      <c r="EA137" s="53">
        <f t="shared" si="438"/>
        <v>15</v>
      </c>
      <c r="EB137" s="296">
        <f t="shared" si="439"/>
        <v>10000000000.000999</v>
      </c>
      <c r="EC137" s="296"/>
      <c r="ED137" s="296"/>
      <c r="EF137" s="296">
        <f t="shared" si="440"/>
        <v>10000000000.000999</v>
      </c>
      <c r="EG137" s="296"/>
      <c r="EH137" s="296"/>
      <c r="EI137" s="134"/>
      <c r="EJ137" s="36">
        <f t="shared" si="441"/>
        <v>0</v>
      </c>
      <c r="EK137" s="36">
        <f t="shared" si="442"/>
        <v>15</v>
      </c>
      <c r="EM137" s="36">
        <f t="shared" si="478"/>
        <v>20</v>
      </c>
      <c r="EN137" s="149"/>
      <c r="EO137" s="398">
        <f t="shared" si="444"/>
        <v>0</v>
      </c>
      <c r="EP137" s="399"/>
      <c r="EQ137" s="53">
        <f t="shared" si="460"/>
        <v>0</v>
      </c>
      <c r="ER137" s="36">
        <f t="shared" si="445"/>
        <v>1</v>
      </c>
      <c r="ES137" s="36">
        <f t="shared" si="477"/>
        <v>99</v>
      </c>
      <c r="ET137" s="36">
        <f t="shared" si="461"/>
        <v>99</v>
      </c>
      <c r="EU137" s="36">
        <f t="shared" si="446"/>
        <v>99</v>
      </c>
      <c r="EW137" s="323">
        <f t="shared" si="447"/>
        <v>19999</v>
      </c>
      <c r="EX137" s="323"/>
      <c r="EZ137" s="323">
        <f t="shared" si="448"/>
        <v>19999</v>
      </c>
      <c r="FA137" s="323"/>
      <c r="FC137" s="36">
        <f t="shared" si="449"/>
        <v>5</v>
      </c>
      <c r="FF137" s="36">
        <f t="shared" si="450"/>
        <v>99</v>
      </c>
      <c r="FG137" s="36">
        <f t="shared" si="464"/>
        <v>99</v>
      </c>
      <c r="FI137" s="36">
        <f t="shared" si="451"/>
        <v>0</v>
      </c>
      <c r="FJ137" s="36" t="str">
        <f>IF(AD46="","",$FJ$115)</f>
        <v/>
      </c>
      <c r="FK137" s="36" t="str">
        <f t="shared" si="452"/>
        <v/>
      </c>
      <c r="FL137" s="36" t="str">
        <f t="shared" si="453"/>
        <v/>
      </c>
      <c r="FM137" s="36" t="str">
        <f t="shared" si="454"/>
        <v/>
      </c>
      <c r="FN137" s="36" t="str">
        <f t="shared" si="455"/>
        <v/>
      </c>
      <c r="FP137" s="36">
        <f t="shared" si="465"/>
        <v>0</v>
      </c>
      <c r="FQ137" s="36" t="str">
        <f t="shared" si="456"/>
        <v/>
      </c>
      <c r="FS137" s="36">
        <v>20</v>
      </c>
      <c r="FU137" s="138"/>
      <c r="FW137" s="149"/>
      <c r="GY137" s="183"/>
      <c r="GZ137" s="122"/>
      <c r="HC137" s="177"/>
      <c r="HD137" s="122"/>
      <c r="HF137" s="153"/>
    </row>
    <row r="138" spans="1:214" ht="12.75" hidden="1" customHeight="1" x14ac:dyDescent="0.25">
      <c r="A138" s="74"/>
      <c r="D138" s="37"/>
      <c r="F138" s="36">
        <f>IF(E54=$BQ$2,1,(IF(E54="",1,(IF(F55="",0,1)))))</f>
        <v>1</v>
      </c>
      <c r="I138" s="36">
        <f>IF(H54=$BQ$2,1,(IF(H54="",1,(IF(I55="",0,1)))))</f>
        <v>1</v>
      </c>
      <c r="L138" s="36">
        <f>IF(K54=$BQ$2,1,(IF(K54="",1,(IF(L55="",0,1)))))</f>
        <v>1</v>
      </c>
      <c r="O138" s="36">
        <f>IF(N54=$BQ$2,1,(IF(N54="",1,(IF(O55="",0,1)))))</f>
        <v>1</v>
      </c>
      <c r="R138" s="36">
        <f>IF(Q54=$BQ$2,1,(IF(Q54="",1,(IF(R55="",0,1)))))</f>
        <v>1</v>
      </c>
      <c r="U138" s="36">
        <f>IF(T54=$BQ$2,1,(IF(T54="",1,(IF(U55="",0,1)))))</f>
        <v>1</v>
      </c>
      <c r="X138" s="36">
        <f>IF(W54=$BQ$2,1,(IF(W54="",1,(IF(X55="",0,1)))))</f>
        <v>1</v>
      </c>
      <c r="AF138" s="36">
        <f t="shared" si="466"/>
        <v>17</v>
      </c>
      <c r="AG138" s="36"/>
      <c r="AH138" s="36">
        <f t="shared" si="467"/>
        <v>17</v>
      </c>
      <c r="AI138" s="36">
        <f t="shared" si="468"/>
        <v>999</v>
      </c>
      <c r="AM138" s="36">
        <f t="shared" si="469"/>
        <v>999</v>
      </c>
      <c r="AN138" s="36">
        <f t="shared" si="470"/>
        <v>999</v>
      </c>
      <c r="AR138" s="36">
        <f t="shared" si="471"/>
        <v>999</v>
      </c>
      <c r="AS138" s="36">
        <f t="shared" si="472"/>
        <v>999</v>
      </c>
      <c r="AW138" s="36">
        <f t="shared" si="473"/>
        <v>999</v>
      </c>
      <c r="AX138" s="36">
        <f t="shared" si="474"/>
        <v>999</v>
      </c>
      <c r="BB138" s="36">
        <f t="shared" si="475"/>
        <v>999</v>
      </c>
      <c r="BC138" s="36">
        <f t="shared" si="476"/>
        <v>999</v>
      </c>
      <c r="BT138" s="36">
        <f t="shared" si="459"/>
        <v>21</v>
      </c>
      <c r="BU138" s="138">
        <v>21</v>
      </c>
      <c r="BV138" s="36">
        <v>21</v>
      </c>
      <c r="BW138" s="36">
        <v>20</v>
      </c>
      <c r="BX138" s="36">
        <v>20</v>
      </c>
      <c r="BY138" s="36">
        <v>19</v>
      </c>
      <c r="BZ138" s="36">
        <v>19</v>
      </c>
      <c r="CA138" s="36">
        <v>18</v>
      </c>
      <c r="CB138" s="36">
        <v>18</v>
      </c>
      <c r="CC138" s="36">
        <v>17</v>
      </c>
      <c r="CD138" s="36">
        <v>17</v>
      </c>
      <c r="CE138" s="36">
        <v>16</v>
      </c>
      <c r="CF138" s="36">
        <v>16</v>
      </c>
      <c r="CG138" s="36">
        <v>15</v>
      </c>
      <c r="CH138" s="36">
        <v>15</v>
      </c>
      <c r="CI138" s="36">
        <v>14</v>
      </c>
      <c r="CJ138" s="36">
        <v>14</v>
      </c>
      <c r="CK138" s="36">
        <v>13</v>
      </c>
      <c r="CL138" s="36">
        <v>13</v>
      </c>
      <c r="CM138" s="36">
        <v>12</v>
      </c>
      <c r="CN138" s="36">
        <v>12</v>
      </c>
      <c r="CO138" s="36">
        <v>11</v>
      </c>
      <c r="CP138" s="36">
        <v>11</v>
      </c>
      <c r="CQ138" s="36">
        <v>10</v>
      </c>
      <c r="CU138" s="149"/>
      <c r="DP138" s="36">
        <f t="shared" si="433"/>
        <v>0</v>
      </c>
      <c r="DR138" s="138" t="str">
        <f t="shared" si="434"/>
        <v/>
      </c>
      <c r="DS138" s="36" t="str">
        <f t="shared" si="435"/>
        <v/>
      </c>
      <c r="DU138" s="296">
        <f t="shared" si="436"/>
        <v>0</v>
      </c>
      <c r="DV138" s="296"/>
      <c r="DW138" s="296"/>
      <c r="DX138" s="296">
        <f t="shared" si="437"/>
        <v>10000000000.000999</v>
      </c>
      <c r="DY138" s="296"/>
      <c r="DZ138" s="296"/>
      <c r="EA138" s="53">
        <f t="shared" si="438"/>
        <v>15</v>
      </c>
      <c r="EB138" s="296">
        <f t="shared" si="439"/>
        <v>10000000000.000999</v>
      </c>
      <c r="EC138" s="296"/>
      <c r="ED138" s="296"/>
      <c r="EF138" s="296">
        <f t="shared" si="440"/>
        <v>10000000000.000999</v>
      </c>
      <c r="EG138" s="296"/>
      <c r="EH138" s="296"/>
      <c r="EI138" s="134"/>
      <c r="EJ138" s="36">
        <f t="shared" si="441"/>
        <v>0</v>
      </c>
      <c r="EK138" s="36">
        <f t="shared" si="442"/>
        <v>15</v>
      </c>
      <c r="EM138" s="36">
        <f t="shared" si="478"/>
        <v>21</v>
      </c>
      <c r="EN138" s="149"/>
      <c r="EO138" s="398">
        <f t="shared" si="444"/>
        <v>0</v>
      </c>
      <c r="EP138" s="399"/>
      <c r="EQ138" s="53">
        <f t="shared" si="460"/>
        <v>0</v>
      </c>
      <c r="ER138" s="36">
        <f t="shared" si="445"/>
        <v>1</v>
      </c>
      <c r="ES138" s="36">
        <f t="shared" si="477"/>
        <v>99</v>
      </c>
      <c r="ET138" s="36">
        <f t="shared" si="461"/>
        <v>99</v>
      </c>
      <c r="EU138" s="36">
        <f t="shared" si="446"/>
        <v>99</v>
      </c>
      <c r="EW138" s="323">
        <f t="shared" si="447"/>
        <v>19999</v>
      </c>
      <c r="EX138" s="323"/>
      <c r="EZ138" s="323">
        <f t="shared" si="448"/>
        <v>19999</v>
      </c>
      <c r="FA138" s="323"/>
      <c r="FC138" s="36">
        <f t="shared" si="449"/>
        <v>5</v>
      </c>
      <c r="FF138" s="36">
        <f t="shared" si="450"/>
        <v>99</v>
      </c>
      <c r="FG138" s="36">
        <f t="shared" si="464"/>
        <v>99</v>
      </c>
      <c r="FI138" s="36">
        <f t="shared" si="451"/>
        <v>0</v>
      </c>
      <c r="FJ138" s="36" t="str">
        <f>IF(AD48="","",$FJ$115)</f>
        <v/>
      </c>
      <c r="FK138" s="36" t="str">
        <f t="shared" si="452"/>
        <v/>
      </c>
      <c r="FL138" s="36" t="str">
        <f>IF(FI138=$FF$126,$FG$126,IF(FI138=$FF$127,$FG$127,IF(FI138=$FF$128,$FG$128,IF(FI138=$FF$129,$FG$129,IF(FI138=$FF$130,$FG$130,IF(FI138=$FF$131,$FG$131,IF(FI138=$FF$132,$FG$132,IF(FI138=$FF$133,$FG$133,""))))))))</f>
        <v/>
      </c>
      <c r="FM138" s="36" t="str">
        <f t="shared" si="454"/>
        <v/>
      </c>
      <c r="FN138" s="36" t="str">
        <f t="shared" si="455"/>
        <v/>
      </c>
      <c r="FP138" s="36">
        <f t="shared" si="465"/>
        <v>0</v>
      </c>
      <c r="FQ138" s="36" t="str">
        <f t="shared" si="456"/>
        <v/>
      </c>
      <c r="FS138" s="36">
        <v>21</v>
      </c>
      <c r="FU138" s="138">
        <f>FU136+1</f>
        <v>11</v>
      </c>
      <c r="FW138" s="149" t="str">
        <f>FQ128</f>
        <v/>
      </c>
      <c r="GY138" s="183"/>
      <c r="GZ138" s="122"/>
      <c r="HC138" s="177" t="str">
        <f>GY109</f>
        <v/>
      </c>
      <c r="HD138" s="122">
        <f>HD136+1</f>
        <v>30</v>
      </c>
      <c r="HF138" s="153" t="str">
        <f>HB109</f>
        <v/>
      </c>
    </row>
    <row r="139" spans="1:214" ht="12.75" hidden="1" customHeight="1" x14ac:dyDescent="0.25">
      <c r="A139" s="74"/>
      <c r="D139" s="37">
        <v>25</v>
      </c>
      <c r="F139" s="36">
        <f>IF(E56=$BQ$2,1,(IF(E56="",1,(IF(F56="",0,1)))))</f>
        <v>1</v>
      </c>
      <c r="I139" s="36">
        <f>IF(H56=$BQ$2,1,(IF(H56="",1,(IF(I56="",0,1)))))</f>
        <v>1</v>
      </c>
      <c r="L139" s="36">
        <f>IF(K56=$BQ$2,1,(IF(K56="",1,(IF(L56="",0,1)))))</f>
        <v>1</v>
      </c>
      <c r="O139" s="36">
        <f>IF(N56=$BQ$2,1,(IF(N56="",1,(IF(O56="",0,1)))))</f>
        <v>1</v>
      </c>
      <c r="R139" s="36">
        <f>IF(Q56=$BQ$2,1,(IF(Q56="",1,(IF(R56="",0,1)))))</f>
        <v>1</v>
      </c>
      <c r="U139" s="36">
        <f>IF(T56=$BQ$2,1,(IF(T56="",1,(IF(U56="",0,1)))))</f>
        <v>1</v>
      </c>
      <c r="X139" s="36">
        <f>IF(W56=$BQ$2,1,(IF(W56="",1,(IF(X56="",0,1)))))</f>
        <v>1</v>
      </c>
      <c r="AF139" s="36">
        <f t="shared" si="466"/>
        <v>18</v>
      </c>
      <c r="AG139" s="36"/>
      <c r="AH139" s="36">
        <f t="shared" si="467"/>
        <v>999</v>
      </c>
      <c r="AI139" s="36">
        <f t="shared" si="468"/>
        <v>999</v>
      </c>
      <c r="AM139" s="36">
        <f t="shared" si="469"/>
        <v>999</v>
      </c>
      <c r="AN139" s="36">
        <f t="shared" si="470"/>
        <v>999</v>
      </c>
      <c r="AR139" s="36">
        <f t="shared" si="471"/>
        <v>999</v>
      </c>
      <c r="AS139" s="36">
        <f t="shared" si="472"/>
        <v>999</v>
      </c>
      <c r="AW139" s="36">
        <f t="shared" si="473"/>
        <v>999</v>
      </c>
      <c r="AX139" s="36">
        <f t="shared" si="474"/>
        <v>999</v>
      </c>
      <c r="BB139" s="36">
        <f t="shared" si="475"/>
        <v>999</v>
      </c>
      <c r="BC139" s="36">
        <f t="shared" si="476"/>
        <v>999</v>
      </c>
      <c r="BT139" s="36">
        <f t="shared" si="459"/>
        <v>22</v>
      </c>
      <c r="BU139" s="138">
        <v>22</v>
      </c>
      <c r="BV139" s="36">
        <v>22</v>
      </c>
      <c r="BW139" s="36">
        <v>21</v>
      </c>
      <c r="BX139" s="36">
        <v>21</v>
      </c>
      <c r="BY139" s="36">
        <v>20</v>
      </c>
      <c r="BZ139" s="36">
        <v>20</v>
      </c>
      <c r="CA139" s="36">
        <v>19</v>
      </c>
      <c r="CB139" s="36">
        <v>19</v>
      </c>
      <c r="CC139" s="36">
        <v>18</v>
      </c>
      <c r="CD139" s="36">
        <v>18</v>
      </c>
      <c r="CE139" s="36">
        <v>17</v>
      </c>
      <c r="CF139" s="36">
        <v>17</v>
      </c>
      <c r="CG139" s="36">
        <v>16</v>
      </c>
      <c r="CH139" s="36">
        <v>16</v>
      </c>
      <c r="CI139" s="36">
        <v>15</v>
      </c>
      <c r="CJ139" s="36">
        <v>15</v>
      </c>
      <c r="CK139" s="36">
        <v>14</v>
      </c>
      <c r="CL139" s="36">
        <v>14</v>
      </c>
      <c r="CM139" s="36">
        <v>13</v>
      </c>
      <c r="CN139" s="36">
        <v>13</v>
      </c>
      <c r="CO139" s="36">
        <v>12</v>
      </c>
      <c r="CU139" s="149"/>
      <c r="DP139" s="36">
        <f t="shared" si="433"/>
        <v>0</v>
      </c>
      <c r="DR139" s="138" t="str">
        <f t="shared" si="434"/>
        <v/>
      </c>
      <c r="DS139" s="36" t="str">
        <f t="shared" si="435"/>
        <v/>
      </c>
      <c r="DU139" s="296">
        <f t="shared" si="436"/>
        <v>0</v>
      </c>
      <c r="DV139" s="296"/>
      <c r="DW139" s="296"/>
      <c r="DX139" s="296">
        <f t="shared" si="437"/>
        <v>10000000000.000999</v>
      </c>
      <c r="DY139" s="296"/>
      <c r="DZ139" s="296"/>
      <c r="EA139" s="53">
        <f t="shared" si="438"/>
        <v>15</v>
      </c>
      <c r="EB139" s="296">
        <f t="shared" si="439"/>
        <v>10000000000.000999</v>
      </c>
      <c r="EC139" s="296"/>
      <c r="ED139" s="296"/>
      <c r="EF139" s="296">
        <f t="shared" si="440"/>
        <v>10000000000.000999</v>
      </c>
      <c r="EG139" s="296"/>
      <c r="EH139" s="296"/>
      <c r="EI139" s="134"/>
      <c r="EJ139" s="36">
        <f t="shared" si="441"/>
        <v>0</v>
      </c>
      <c r="EK139" s="36">
        <f t="shared" si="442"/>
        <v>15</v>
      </c>
      <c r="EM139" s="36">
        <f t="shared" si="478"/>
        <v>22</v>
      </c>
      <c r="EN139" s="149"/>
      <c r="EO139" s="398">
        <f t="shared" si="444"/>
        <v>0</v>
      </c>
      <c r="EP139" s="399"/>
      <c r="EQ139" s="53">
        <f t="shared" si="460"/>
        <v>0</v>
      </c>
      <c r="ER139" s="36">
        <f t="shared" si="445"/>
        <v>1</v>
      </c>
      <c r="ES139" s="36">
        <f t="shared" si="477"/>
        <v>99</v>
      </c>
      <c r="ET139" s="36">
        <f t="shared" si="461"/>
        <v>99</v>
      </c>
      <c r="EU139" s="36">
        <f t="shared" si="446"/>
        <v>99</v>
      </c>
      <c r="EW139" s="323">
        <f t="shared" si="447"/>
        <v>19999</v>
      </c>
      <c r="EX139" s="323"/>
      <c r="EZ139" s="323">
        <f t="shared" si="448"/>
        <v>19999</v>
      </c>
      <c r="FA139" s="323"/>
      <c r="FC139" s="36">
        <f t="shared" si="449"/>
        <v>5</v>
      </c>
      <c r="FF139" s="36">
        <f t="shared" si="450"/>
        <v>99</v>
      </c>
      <c r="FG139" s="36">
        <f t="shared" si="464"/>
        <v>99</v>
      </c>
      <c r="FI139" s="36">
        <f t="shared" si="451"/>
        <v>0</v>
      </c>
      <c r="FJ139" s="36" t="str">
        <f>IF(AD50="","",$FJ$115)</f>
        <v/>
      </c>
      <c r="FK139" s="36" t="str">
        <f t="shared" si="452"/>
        <v/>
      </c>
      <c r="FL139" s="36" t="str">
        <f t="shared" si="453"/>
        <v/>
      </c>
      <c r="FM139" s="36" t="str">
        <f t="shared" si="454"/>
        <v/>
      </c>
      <c r="FN139" s="36" t="str">
        <f t="shared" si="455"/>
        <v/>
      </c>
      <c r="FP139" s="36">
        <f t="shared" si="465"/>
        <v>0</v>
      </c>
      <c r="FQ139" s="36" t="str">
        <f t="shared" si="456"/>
        <v/>
      </c>
      <c r="FS139" s="36">
        <v>22</v>
      </c>
      <c r="FU139" s="138"/>
      <c r="FW139" s="149"/>
      <c r="GY139" s="183"/>
      <c r="GZ139" s="122"/>
      <c r="HC139" s="177"/>
      <c r="HD139" s="122"/>
      <c r="HF139" s="153"/>
    </row>
    <row r="140" spans="1:214" ht="12.75" hidden="1" customHeight="1" x14ac:dyDescent="0.25">
      <c r="A140" s="74"/>
      <c r="D140" s="37"/>
      <c r="F140" s="36">
        <f>IF(E56=$BQ$2,1,(IF(E56="",1,(IF(F57="",0,1)))))</f>
        <v>1</v>
      </c>
      <c r="I140" s="36">
        <f>IF(H56=$BQ$2,1,(IF(H56="",1,(IF(I57="",0,1)))))</f>
        <v>1</v>
      </c>
      <c r="L140" s="36">
        <f>IF(K56=$BQ$2,1,(IF(K56="",1,(IF(L57="",0,1)))))</f>
        <v>1</v>
      </c>
      <c r="O140" s="36">
        <f>IF(N56=$BQ$2,1,(IF(N56="",1,(IF(O57="",0,1)))))</f>
        <v>1</v>
      </c>
      <c r="R140" s="36">
        <f>IF(Q56=$BQ$2,1,(IF(Q56="",1,(IF(R57="",0,1)))))</f>
        <v>1</v>
      </c>
      <c r="U140" s="36">
        <f>IF(T56=$BQ$2,1,(IF(T56="",1,(IF(U57="",0,1)))))</f>
        <v>1</v>
      </c>
      <c r="X140" s="36">
        <f>IF(W56=$BQ$2,1,(IF(W56="",1,(IF(X57="",0,1)))))</f>
        <v>1</v>
      </c>
      <c r="AF140" s="36">
        <f t="shared" si="466"/>
        <v>19</v>
      </c>
      <c r="AG140" s="36"/>
      <c r="AH140" s="36">
        <f t="shared" si="467"/>
        <v>999</v>
      </c>
      <c r="AI140" s="36">
        <f t="shared" si="468"/>
        <v>999</v>
      </c>
      <c r="AM140" s="36">
        <f t="shared" si="469"/>
        <v>999</v>
      </c>
      <c r="AN140" s="36">
        <f t="shared" si="470"/>
        <v>999</v>
      </c>
      <c r="AR140" s="36">
        <f t="shared" si="471"/>
        <v>999</v>
      </c>
      <c r="AS140" s="36">
        <f t="shared" si="472"/>
        <v>999</v>
      </c>
      <c r="AW140" s="36">
        <f t="shared" si="473"/>
        <v>999</v>
      </c>
      <c r="AX140" s="36">
        <f t="shared" si="474"/>
        <v>999</v>
      </c>
      <c r="BB140" s="36">
        <f t="shared" si="475"/>
        <v>999</v>
      </c>
      <c r="BC140" s="36">
        <f t="shared" si="476"/>
        <v>999</v>
      </c>
      <c r="BT140" s="36">
        <f t="shared" si="459"/>
        <v>23</v>
      </c>
      <c r="BU140" s="138">
        <v>23</v>
      </c>
      <c r="BV140" s="36">
        <v>23</v>
      </c>
      <c r="BW140" s="36">
        <v>22</v>
      </c>
      <c r="BX140" s="36">
        <v>22</v>
      </c>
      <c r="BY140" s="36">
        <v>21</v>
      </c>
      <c r="BZ140" s="36">
        <v>21</v>
      </c>
      <c r="CA140" s="36">
        <v>20</v>
      </c>
      <c r="CB140" s="36">
        <v>20</v>
      </c>
      <c r="CC140" s="36">
        <v>19</v>
      </c>
      <c r="CD140" s="36">
        <v>19</v>
      </c>
      <c r="CE140" s="36">
        <v>18</v>
      </c>
      <c r="CF140" s="36">
        <v>18</v>
      </c>
      <c r="CG140" s="36">
        <v>17</v>
      </c>
      <c r="CH140" s="36">
        <v>17</v>
      </c>
      <c r="CI140" s="36">
        <v>16</v>
      </c>
      <c r="CJ140" s="36">
        <v>16</v>
      </c>
      <c r="CK140" s="36">
        <v>15</v>
      </c>
      <c r="CL140" s="36">
        <v>15</v>
      </c>
      <c r="CM140" s="36">
        <v>14</v>
      </c>
      <c r="CU140" s="149"/>
      <c r="DP140" s="36">
        <f t="shared" si="433"/>
        <v>0</v>
      </c>
      <c r="DR140" s="138" t="str">
        <f t="shared" si="434"/>
        <v/>
      </c>
      <c r="DS140" s="36" t="str">
        <f t="shared" si="435"/>
        <v/>
      </c>
      <c r="DU140" s="296">
        <f t="shared" si="436"/>
        <v>0</v>
      </c>
      <c r="DV140" s="296"/>
      <c r="DW140" s="296"/>
      <c r="DX140" s="296">
        <f t="shared" si="437"/>
        <v>10000000000.000999</v>
      </c>
      <c r="DY140" s="296"/>
      <c r="DZ140" s="296"/>
      <c r="EA140" s="53">
        <f t="shared" si="438"/>
        <v>15</v>
      </c>
      <c r="EB140" s="296">
        <f t="shared" si="439"/>
        <v>10000000000.000999</v>
      </c>
      <c r="EC140" s="296"/>
      <c r="ED140" s="296"/>
      <c r="EF140" s="296">
        <f t="shared" si="440"/>
        <v>10000000000.000999</v>
      </c>
      <c r="EG140" s="296"/>
      <c r="EH140" s="296"/>
      <c r="EI140" s="134"/>
      <c r="EJ140" s="36">
        <f t="shared" si="441"/>
        <v>0</v>
      </c>
      <c r="EK140" s="36">
        <f t="shared" si="442"/>
        <v>15</v>
      </c>
      <c r="EM140" s="36">
        <f t="shared" si="478"/>
        <v>23</v>
      </c>
      <c r="EN140" s="149"/>
      <c r="EO140" s="398">
        <f t="shared" si="444"/>
        <v>0</v>
      </c>
      <c r="EP140" s="399"/>
      <c r="EQ140" s="53">
        <f t="shared" si="460"/>
        <v>0</v>
      </c>
      <c r="ER140" s="36">
        <f t="shared" si="445"/>
        <v>1</v>
      </c>
      <c r="ES140" s="36">
        <f t="shared" si="477"/>
        <v>99</v>
      </c>
      <c r="ET140" s="36">
        <f t="shared" si="461"/>
        <v>99</v>
      </c>
      <c r="EU140" s="36">
        <f t="shared" si="446"/>
        <v>99</v>
      </c>
      <c r="EW140" s="323">
        <f t="shared" si="447"/>
        <v>19999</v>
      </c>
      <c r="EX140" s="323"/>
      <c r="EZ140" s="323">
        <f t="shared" si="448"/>
        <v>19999</v>
      </c>
      <c r="FA140" s="323"/>
      <c r="FC140" s="36">
        <f t="shared" si="449"/>
        <v>5</v>
      </c>
      <c r="FF140" s="36">
        <f t="shared" si="450"/>
        <v>99</v>
      </c>
      <c r="FG140" s="36">
        <f t="shared" si="464"/>
        <v>99</v>
      </c>
      <c r="FI140" s="36">
        <f t="shared" si="451"/>
        <v>0</v>
      </c>
      <c r="FJ140" s="36" t="str">
        <f>IF(AD52="","",$FJ$115)</f>
        <v/>
      </c>
      <c r="FK140" s="36" t="str">
        <f t="shared" si="452"/>
        <v/>
      </c>
      <c r="FL140" s="36" t="str">
        <f t="shared" si="453"/>
        <v/>
      </c>
      <c r="FM140" s="36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36" t="str">
        <f t="shared" si="455"/>
        <v/>
      </c>
      <c r="FP140" s="36">
        <f t="shared" si="465"/>
        <v>0</v>
      </c>
      <c r="FQ140" s="36" t="str">
        <f t="shared" si="456"/>
        <v/>
      </c>
      <c r="FS140" s="36">
        <v>23</v>
      </c>
      <c r="FU140" s="138">
        <f>FU138+1</f>
        <v>12</v>
      </c>
      <c r="FW140" s="149" t="str">
        <f>FQ129</f>
        <v/>
      </c>
      <c r="GY140" s="183"/>
      <c r="GZ140" s="122"/>
      <c r="HC140" s="177" t="str">
        <f>GY110</f>
        <v/>
      </c>
      <c r="HD140" s="122">
        <f>HD138+1</f>
        <v>31</v>
      </c>
      <c r="HF140" s="153" t="str">
        <f>HB110</f>
        <v/>
      </c>
    </row>
    <row r="141" spans="1:214" ht="12.75" hidden="1" customHeight="1" x14ac:dyDescent="0.25">
      <c r="A141" s="74"/>
      <c r="D141" s="37">
        <v>26</v>
      </c>
      <c r="F141" s="36">
        <f>IF(E58=$BQ$2,1,(IF(E58="",1,(IF(F58="",0,1)))))</f>
        <v>1</v>
      </c>
      <c r="I141" s="36">
        <f>IF(H58=$BQ$2,1,(IF(H58="",1,(IF(I58="",0,1)))))</f>
        <v>1</v>
      </c>
      <c r="L141" s="36">
        <f>IF(K58=$BQ$2,1,(IF(K58="",1,(IF(L58="",0,1)))))</f>
        <v>1</v>
      </c>
      <c r="O141" s="36">
        <f>IF(N58=$BQ$2,1,(IF(N58="",1,(IF(O58="",0,1)))))</f>
        <v>1</v>
      </c>
      <c r="R141" s="36">
        <f>IF(Q58=$BQ$2,1,(IF(Q58="",1,(IF(R58="",0,1)))))</f>
        <v>1</v>
      </c>
      <c r="U141" s="36">
        <f>IF(T58=$BQ$2,1,(IF(T58="",1,(IF(U58="",0,1)))))</f>
        <v>1</v>
      </c>
      <c r="X141" s="36">
        <f>IF(W58=$BQ$2,1,(IF(W58="",1,(IF(X58="",0,1)))))</f>
        <v>1</v>
      </c>
      <c r="AF141" s="36">
        <f t="shared" si="466"/>
        <v>20</v>
      </c>
      <c r="AG141" s="36"/>
      <c r="AH141" s="36">
        <f t="shared" si="467"/>
        <v>999</v>
      </c>
      <c r="AI141" s="36">
        <f t="shared" si="468"/>
        <v>999</v>
      </c>
      <c r="AM141" s="36">
        <f t="shared" si="469"/>
        <v>999</v>
      </c>
      <c r="AN141" s="36">
        <f t="shared" si="470"/>
        <v>999</v>
      </c>
      <c r="AR141" s="36">
        <f t="shared" si="471"/>
        <v>999</v>
      </c>
      <c r="AS141" s="36">
        <f t="shared" si="472"/>
        <v>999</v>
      </c>
      <c r="AW141" s="36">
        <f t="shared" si="473"/>
        <v>999</v>
      </c>
      <c r="AX141" s="36">
        <f t="shared" si="474"/>
        <v>999</v>
      </c>
      <c r="BB141" s="36">
        <f t="shared" si="475"/>
        <v>999</v>
      </c>
      <c r="BC141" s="36">
        <f t="shared" si="476"/>
        <v>999</v>
      </c>
      <c r="BT141" s="36">
        <f t="shared" si="459"/>
        <v>24</v>
      </c>
      <c r="BU141" s="138">
        <v>24</v>
      </c>
      <c r="BV141" s="36">
        <v>24</v>
      </c>
      <c r="BW141" s="36">
        <v>23</v>
      </c>
      <c r="BX141" s="36">
        <v>23</v>
      </c>
      <c r="BY141" s="36">
        <v>22</v>
      </c>
      <c r="BZ141" s="36">
        <v>22</v>
      </c>
      <c r="CA141" s="36">
        <v>21</v>
      </c>
      <c r="CB141" s="36">
        <v>21</v>
      </c>
      <c r="CC141" s="36">
        <v>20</v>
      </c>
      <c r="CD141" s="36">
        <v>20</v>
      </c>
      <c r="CE141" s="36">
        <v>19</v>
      </c>
      <c r="CF141" s="36">
        <v>19</v>
      </c>
      <c r="CG141" s="36">
        <v>18</v>
      </c>
      <c r="CH141" s="36">
        <v>18</v>
      </c>
      <c r="CI141" s="36">
        <v>17</v>
      </c>
      <c r="CJ141" s="36">
        <v>17</v>
      </c>
      <c r="CK141" s="36">
        <v>16</v>
      </c>
      <c r="CU141" s="149"/>
      <c r="DP141" s="36">
        <f t="shared" si="433"/>
        <v>0</v>
      </c>
      <c r="DR141" s="138" t="str">
        <f t="shared" si="434"/>
        <v/>
      </c>
      <c r="DS141" s="36" t="str">
        <f t="shared" si="435"/>
        <v/>
      </c>
      <c r="DU141" s="296">
        <f t="shared" si="436"/>
        <v>0</v>
      </c>
      <c r="DV141" s="296"/>
      <c r="DW141" s="296"/>
      <c r="DX141" s="296">
        <f t="shared" si="437"/>
        <v>10000000000.000999</v>
      </c>
      <c r="DY141" s="296"/>
      <c r="DZ141" s="296"/>
      <c r="EA141" s="53">
        <f t="shared" si="438"/>
        <v>15</v>
      </c>
      <c r="EB141" s="296">
        <f t="shared" si="439"/>
        <v>10000000000.000999</v>
      </c>
      <c r="EC141" s="296"/>
      <c r="ED141" s="296"/>
      <c r="EF141" s="296">
        <f t="shared" si="440"/>
        <v>10000000000.000999</v>
      </c>
      <c r="EG141" s="296"/>
      <c r="EH141" s="296"/>
      <c r="EI141" s="134"/>
      <c r="EJ141" s="36">
        <f t="shared" si="441"/>
        <v>0</v>
      </c>
      <c r="EK141" s="36">
        <f t="shared" si="442"/>
        <v>15</v>
      </c>
      <c r="EM141" s="36">
        <f t="shared" si="478"/>
        <v>24</v>
      </c>
      <c r="EN141" s="149"/>
      <c r="EO141" s="398">
        <f t="shared" si="444"/>
        <v>0</v>
      </c>
      <c r="EP141" s="399"/>
      <c r="EQ141" s="53">
        <f t="shared" si="460"/>
        <v>0</v>
      </c>
      <c r="ER141" s="36">
        <f t="shared" si="445"/>
        <v>1</v>
      </c>
      <c r="ES141" s="36">
        <f t="shared" si="477"/>
        <v>99</v>
      </c>
      <c r="ET141" s="36">
        <f t="shared" si="461"/>
        <v>99</v>
      </c>
      <c r="EU141" s="36">
        <f t="shared" si="446"/>
        <v>99</v>
      </c>
      <c r="EW141" s="323">
        <f t="shared" si="447"/>
        <v>19999</v>
      </c>
      <c r="EX141" s="323"/>
      <c r="EZ141" s="323">
        <f t="shared" si="448"/>
        <v>19999</v>
      </c>
      <c r="FA141" s="323"/>
      <c r="FC141" s="36">
        <f t="shared" si="449"/>
        <v>5</v>
      </c>
      <c r="FF141" s="36">
        <f t="shared" si="450"/>
        <v>99</v>
      </c>
      <c r="FG141" s="36">
        <f t="shared" si="464"/>
        <v>99</v>
      </c>
      <c r="FI141" s="36">
        <f t="shared" si="451"/>
        <v>0</v>
      </c>
      <c r="FJ141" s="36" t="str">
        <f>IF(AD54="","",$FJ$115)</f>
        <v/>
      </c>
      <c r="FK141" s="36" t="str">
        <f t="shared" si="452"/>
        <v/>
      </c>
      <c r="FL141" s="36" t="str">
        <f t="shared" si="453"/>
        <v/>
      </c>
      <c r="FM141" s="36" t="str">
        <f t="shared" si="454"/>
        <v/>
      </c>
      <c r="FN141" s="36" t="str">
        <f t="shared" si="455"/>
        <v/>
      </c>
      <c r="FP141" s="36">
        <f t="shared" si="465"/>
        <v>0</v>
      </c>
      <c r="FQ141" s="36" t="str">
        <f t="shared" si="456"/>
        <v/>
      </c>
      <c r="FS141" s="36">
        <v>24</v>
      </c>
      <c r="FU141" s="138"/>
      <c r="FW141" s="149"/>
      <c r="GY141" s="183"/>
      <c r="GZ141" s="122"/>
      <c r="HC141" s="177"/>
      <c r="HD141" s="122"/>
      <c r="HF141" s="153"/>
    </row>
    <row r="142" spans="1:214" ht="12.75" hidden="1" customHeight="1" x14ac:dyDescent="0.25">
      <c r="A142" s="74"/>
      <c r="D142" s="37"/>
      <c r="F142" s="36">
        <f>IF(E58=$BQ$2,1,(IF(E58="",1,(IF(F59="",0,1)))))</f>
        <v>1</v>
      </c>
      <c r="I142" s="36">
        <f>IF(H58=$BQ$2,1,(IF(H58="",1,(IF(I59="",0,1)))))</f>
        <v>1</v>
      </c>
      <c r="L142" s="36">
        <f>IF(K58=$BQ$2,1,(IF(K58="",1,(IF(L59="",0,1)))))</f>
        <v>1</v>
      </c>
      <c r="O142" s="36">
        <f>IF(N58=$BQ$2,1,(IF(N58="",1,(IF(O59="",0,1)))))</f>
        <v>1</v>
      </c>
      <c r="R142" s="36">
        <f>IF(Q58=$BQ$2,1,(IF(Q58="",1,(IF(R59="",0,1)))))</f>
        <v>1</v>
      </c>
      <c r="U142" s="36">
        <f>IF(T58=$BQ$2,1,(IF(T58="",1,(IF(U59="",0,1)))))</f>
        <v>1</v>
      </c>
      <c r="X142" s="36">
        <f>IF(W58=$BQ$2,1,(IF(W58="",1,(IF(X59="",0,1)))))</f>
        <v>1</v>
      </c>
      <c r="AF142" s="36">
        <f t="shared" si="466"/>
        <v>21</v>
      </c>
      <c r="AG142" s="36"/>
      <c r="AH142" s="36">
        <f t="shared" si="467"/>
        <v>999</v>
      </c>
      <c r="AI142" s="36">
        <f t="shared" si="468"/>
        <v>999</v>
      </c>
      <c r="AM142" s="36">
        <f t="shared" si="469"/>
        <v>999</v>
      </c>
      <c r="AN142" s="36">
        <f t="shared" si="470"/>
        <v>999</v>
      </c>
      <c r="AR142" s="36">
        <f t="shared" si="471"/>
        <v>999</v>
      </c>
      <c r="AS142" s="36">
        <f t="shared" si="472"/>
        <v>999</v>
      </c>
      <c r="AW142" s="36">
        <f t="shared" si="473"/>
        <v>999</v>
      </c>
      <c r="AX142" s="36">
        <f t="shared" si="474"/>
        <v>999</v>
      </c>
      <c r="BB142" s="36">
        <f t="shared" si="475"/>
        <v>999</v>
      </c>
      <c r="BC142" s="36">
        <f t="shared" si="476"/>
        <v>999</v>
      </c>
      <c r="BT142" s="36">
        <f t="shared" si="459"/>
        <v>25</v>
      </c>
      <c r="BU142" s="138">
        <v>25</v>
      </c>
      <c r="BV142" s="36">
        <v>25</v>
      </c>
      <c r="BW142" s="36">
        <v>24</v>
      </c>
      <c r="BX142" s="36">
        <v>24</v>
      </c>
      <c r="BY142" s="36">
        <v>23</v>
      </c>
      <c r="BZ142" s="36">
        <v>23</v>
      </c>
      <c r="CA142" s="36">
        <v>22</v>
      </c>
      <c r="CB142" s="36">
        <v>22</v>
      </c>
      <c r="CC142" s="36">
        <v>21</v>
      </c>
      <c r="CD142" s="36">
        <v>21</v>
      </c>
      <c r="CE142" s="36">
        <v>20</v>
      </c>
      <c r="CF142" s="36">
        <v>20</v>
      </c>
      <c r="CG142" s="36">
        <v>19</v>
      </c>
      <c r="CH142" s="36">
        <v>19</v>
      </c>
      <c r="CI142" s="36">
        <v>18</v>
      </c>
      <c r="CU142" s="149"/>
      <c r="DP142" s="36">
        <f t="shared" si="433"/>
        <v>0</v>
      </c>
      <c r="DR142" s="138" t="str">
        <f t="shared" si="434"/>
        <v/>
      </c>
      <c r="DS142" s="36" t="str">
        <f t="shared" si="435"/>
        <v/>
      </c>
      <c r="DU142" s="296">
        <f t="shared" si="436"/>
        <v>0</v>
      </c>
      <c r="DV142" s="296"/>
      <c r="DW142" s="296"/>
      <c r="DX142" s="296">
        <f t="shared" si="437"/>
        <v>10000000000.000999</v>
      </c>
      <c r="DY142" s="296"/>
      <c r="DZ142" s="296"/>
      <c r="EA142" s="53">
        <f t="shared" si="438"/>
        <v>15</v>
      </c>
      <c r="EB142" s="296">
        <f t="shared" si="439"/>
        <v>10000000000.000999</v>
      </c>
      <c r="EC142" s="296"/>
      <c r="ED142" s="296"/>
      <c r="EF142" s="296">
        <f t="shared" si="440"/>
        <v>10000000000.000999</v>
      </c>
      <c r="EG142" s="296"/>
      <c r="EH142" s="296"/>
      <c r="EI142" s="134"/>
      <c r="EJ142" s="36">
        <f t="shared" si="441"/>
        <v>0</v>
      </c>
      <c r="EK142" s="36">
        <f t="shared" si="442"/>
        <v>15</v>
      </c>
      <c r="EM142" s="36">
        <f t="shared" si="478"/>
        <v>25</v>
      </c>
      <c r="EN142" s="149"/>
      <c r="EO142" s="398">
        <f t="shared" si="444"/>
        <v>0</v>
      </c>
      <c r="EP142" s="399"/>
      <c r="EQ142" s="53">
        <f t="shared" si="460"/>
        <v>0</v>
      </c>
      <c r="ER142" s="36">
        <f t="shared" si="445"/>
        <v>1</v>
      </c>
      <c r="ES142" s="36">
        <f t="shared" si="477"/>
        <v>99</v>
      </c>
      <c r="ET142" s="36">
        <f t="shared" si="461"/>
        <v>99</v>
      </c>
      <c r="EU142" s="36">
        <f t="shared" si="446"/>
        <v>99</v>
      </c>
      <c r="EW142" s="323">
        <f t="shared" si="447"/>
        <v>19999</v>
      </c>
      <c r="EX142" s="323"/>
      <c r="EZ142" s="323">
        <f t="shared" si="448"/>
        <v>19999</v>
      </c>
      <c r="FA142" s="323"/>
      <c r="FC142" s="36">
        <f t="shared" si="449"/>
        <v>5</v>
      </c>
      <c r="FF142" s="36">
        <f t="shared" si="450"/>
        <v>99</v>
      </c>
      <c r="FG142" s="36">
        <f>(VALUE(MID(EZ142,FC142-1,2)))</f>
        <v>99</v>
      </c>
      <c r="FI142" s="36">
        <f t="shared" si="451"/>
        <v>0</v>
      </c>
      <c r="FJ142" s="36" t="str">
        <f>IF(AD56="","",$FJ$115)</f>
        <v/>
      </c>
      <c r="FK142" s="36" t="str">
        <f t="shared" si="452"/>
        <v/>
      </c>
      <c r="FL142" s="36" t="str">
        <f t="shared" si="453"/>
        <v/>
      </c>
      <c r="FM142" s="36" t="str">
        <f t="shared" si="454"/>
        <v/>
      </c>
      <c r="FN142" s="36" t="str">
        <f>IF(FI142=$FF$142,$FG$142,IF(FI142=$FF$143,$FG$143,IF(FI142=$FF$144,$FG$144,IF(FI142=$FF$145,$FG$145,IF(FI142=$FF$146,$FG$146,IF(FI142=$FF$147,$FG$147,IF(FI142=$FF$148,$FG$148,IF(FI142=$FF$149,$FG$149,""))))))))</f>
        <v/>
      </c>
      <c r="FP142" s="36">
        <f t="shared" si="465"/>
        <v>0</v>
      </c>
      <c r="FQ142" s="36" t="str">
        <f t="shared" si="456"/>
        <v/>
      </c>
      <c r="FS142" s="36">
        <v>25</v>
      </c>
      <c r="FU142" s="138">
        <f>FU140+1</f>
        <v>13</v>
      </c>
      <c r="FW142" s="149" t="str">
        <f>FQ130</f>
        <v/>
      </c>
      <c r="GY142" s="183"/>
      <c r="GZ142" s="122"/>
      <c r="HC142" s="177" t="str">
        <f>GY111</f>
        <v/>
      </c>
      <c r="HD142" s="122">
        <f>HD140+1</f>
        <v>32</v>
      </c>
      <c r="HF142" s="153" t="str">
        <f>HB111</f>
        <v/>
      </c>
    </row>
    <row r="143" spans="1:214" ht="13.5" hidden="1" customHeight="1" thickBot="1" x14ac:dyDescent="0.3">
      <c r="A143" s="74"/>
      <c r="D143" s="37">
        <v>27</v>
      </c>
      <c r="F143" s="36">
        <f>IF(E60=$BQ$2,1,(IF(E60="",1,(IF(F60="",0,1)))))</f>
        <v>1</v>
      </c>
      <c r="I143" s="36">
        <f>IF(H60=$BQ$2,1,(IF(H60="",1,(IF(I60="",0,1)))))</f>
        <v>1</v>
      </c>
      <c r="L143" s="36">
        <f>IF(K60=$BQ$2,1,(IF(K60="",1,(IF(L60="",0,1)))))</f>
        <v>1</v>
      </c>
      <c r="O143" s="36">
        <f>IF(N60=$BQ$2,1,(IF(N60="",1,(IF(O60="",0,1)))))</f>
        <v>1</v>
      </c>
      <c r="R143" s="36">
        <f>IF(Q60=$BQ$2,1,(IF(Q60="",1,(IF(R60="",0,1)))))</f>
        <v>1</v>
      </c>
      <c r="U143" s="36">
        <f>IF(T60=$BQ$2,1,(IF(T60="",1,(IF(U60="",0,1)))))</f>
        <v>1</v>
      </c>
      <c r="X143" s="36">
        <f>IF(W60=$BQ$2,1,(IF(W60="",1,(IF(X60="",0,1)))))</f>
        <v>1</v>
      </c>
      <c r="AF143" s="36">
        <f t="shared" si="466"/>
        <v>22</v>
      </c>
      <c r="AG143" s="36"/>
      <c r="AH143" s="36">
        <f t="shared" si="467"/>
        <v>999</v>
      </c>
      <c r="AI143" s="36">
        <f t="shared" si="468"/>
        <v>999</v>
      </c>
      <c r="AM143" s="36">
        <f t="shared" si="469"/>
        <v>999</v>
      </c>
      <c r="AN143" s="36">
        <f t="shared" si="470"/>
        <v>999</v>
      </c>
      <c r="AR143" s="36">
        <f t="shared" si="471"/>
        <v>999</v>
      </c>
      <c r="AS143" s="36">
        <f t="shared" si="472"/>
        <v>999</v>
      </c>
      <c r="AW143" s="36">
        <f t="shared" si="473"/>
        <v>999</v>
      </c>
      <c r="AX143" s="36">
        <f t="shared" si="474"/>
        <v>999</v>
      </c>
      <c r="BB143" s="36">
        <f t="shared" si="475"/>
        <v>999</v>
      </c>
      <c r="BC143" s="36">
        <f t="shared" si="476"/>
        <v>999</v>
      </c>
      <c r="BT143" s="36">
        <f t="shared" si="459"/>
        <v>26</v>
      </c>
      <c r="BU143" s="138">
        <v>26</v>
      </c>
      <c r="BV143" s="36">
        <v>26</v>
      </c>
      <c r="BW143" s="36">
        <v>25</v>
      </c>
      <c r="BX143" s="36">
        <v>25</v>
      </c>
      <c r="BY143" s="36">
        <v>24</v>
      </c>
      <c r="BZ143" s="36">
        <v>24</v>
      </c>
      <c r="CA143" s="36">
        <v>23</v>
      </c>
      <c r="CB143" s="36">
        <v>23</v>
      </c>
      <c r="CC143" s="36">
        <v>22</v>
      </c>
      <c r="CD143" s="36">
        <v>22</v>
      </c>
      <c r="CE143" s="36">
        <v>21</v>
      </c>
      <c r="CF143" s="36">
        <v>21</v>
      </c>
      <c r="CG143" s="36">
        <v>20</v>
      </c>
      <c r="CU143" s="149"/>
      <c r="DP143" s="36">
        <f t="shared" si="433"/>
        <v>0</v>
      </c>
      <c r="DR143" s="138" t="str">
        <f t="shared" si="434"/>
        <v/>
      </c>
      <c r="DS143" s="36" t="str">
        <f t="shared" si="435"/>
        <v/>
      </c>
      <c r="DU143" s="296">
        <f t="shared" si="436"/>
        <v>0</v>
      </c>
      <c r="DV143" s="296"/>
      <c r="DW143" s="296"/>
      <c r="DX143" s="296">
        <f t="shared" si="437"/>
        <v>10000000000.000999</v>
      </c>
      <c r="DY143" s="296"/>
      <c r="DZ143" s="296"/>
      <c r="EA143" s="53">
        <f t="shared" si="438"/>
        <v>15</v>
      </c>
      <c r="EB143" s="296">
        <f t="shared" si="439"/>
        <v>10000000000.000999</v>
      </c>
      <c r="EC143" s="296"/>
      <c r="ED143" s="296"/>
      <c r="EF143" s="296">
        <f t="shared" si="440"/>
        <v>10000000000.000999</v>
      </c>
      <c r="EG143" s="296"/>
      <c r="EH143" s="296"/>
      <c r="EI143" s="134"/>
      <c r="EJ143" s="36">
        <f t="shared" si="441"/>
        <v>0</v>
      </c>
      <c r="EK143" s="36">
        <f t="shared" si="442"/>
        <v>15</v>
      </c>
      <c r="EM143" s="36">
        <f t="shared" si="478"/>
        <v>26</v>
      </c>
      <c r="EN143" s="149"/>
      <c r="EO143" s="398">
        <f t="shared" si="444"/>
        <v>0</v>
      </c>
      <c r="EP143" s="399"/>
      <c r="EQ143" s="53">
        <f t="shared" si="460"/>
        <v>0</v>
      </c>
      <c r="ER143" s="36">
        <f t="shared" si="445"/>
        <v>1</v>
      </c>
      <c r="ES143" s="36">
        <f t="shared" si="477"/>
        <v>99</v>
      </c>
      <c r="ET143" s="36">
        <f t="shared" si="461"/>
        <v>99</v>
      </c>
      <c r="EU143" s="36">
        <f t="shared" si="446"/>
        <v>99</v>
      </c>
      <c r="EW143" s="323">
        <f t="shared" si="447"/>
        <v>19999</v>
      </c>
      <c r="EX143" s="323"/>
      <c r="EZ143" s="323">
        <f t="shared" si="448"/>
        <v>19999</v>
      </c>
      <c r="FA143" s="323"/>
      <c r="FC143" s="36">
        <f t="shared" si="449"/>
        <v>5</v>
      </c>
      <c r="FF143" s="36">
        <f t="shared" si="450"/>
        <v>99</v>
      </c>
      <c r="FG143" s="36">
        <f t="shared" si="464"/>
        <v>99</v>
      </c>
      <c r="FI143" s="36">
        <f t="shared" si="451"/>
        <v>0</v>
      </c>
      <c r="FJ143" s="36" t="str">
        <f>IF(AD58="","",$FJ$115)</f>
        <v/>
      </c>
      <c r="FK143" s="36" t="str">
        <f t="shared" si="452"/>
        <v/>
      </c>
      <c r="FL143" s="36" t="str">
        <f t="shared" si="453"/>
        <v/>
      </c>
      <c r="FM143" s="36" t="str">
        <f t="shared" si="454"/>
        <v/>
      </c>
      <c r="FN143" s="36" t="str">
        <f>IF(FI143=$FF$142,$FG$142,IF(FI143=$FF$143,$FG$143,IF(FI143=$FF$144,$FG$144,IF(FI143=$FF$145,$FG$145,IF(FI143=$FF$146,$FG$146,IF(FI143=$FF$147,$FG$147,IF(FI143=$FF$148,$FG$148,IF(FI143=$FF$149,$FG$149,""))))))))</f>
        <v/>
      </c>
      <c r="FP143" s="36">
        <f t="shared" si="465"/>
        <v>0</v>
      </c>
      <c r="FQ143" s="36" t="str">
        <f t="shared" si="456"/>
        <v/>
      </c>
      <c r="FS143" s="36">
        <v>26</v>
      </c>
      <c r="FU143" s="138"/>
      <c r="FW143" s="149"/>
      <c r="GY143" s="205"/>
      <c r="GZ143" s="206"/>
      <c r="HA143" s="155"/>
      <c r="HB143" s="155"/>
      <c r="HC143" s="178"/>
      <c r="HD143" s="206"/>
      <c r="HE143" s="155"/>
      <c r="HF143" s="156"/>
    </row>
    <row r="144" spans="1:214" ht="12.75" hidden="1" customHeight="1" x14ac:dyDescent="0.25">
      <c r="D144" s="37"/>
      <c r="F144" s="36">
        <f>IF(E60=$BQ$2,1,(IF(E60="",1,(IF(F61="",0,1)))))</f>
        <v>1</v>
      </c>
      <c r="I144" s="36">
        <f>IF(H60=$BQ$2,1,(IF(H60="",1,(IF(I61="",0,1)))))</f>
        <v>1</v>
      </c>
      <c r="L144" s="36">
        <f>IF(K60=$BQ$2,1,(IF(K60="",1,(IF(L61="",0,1)))))</f>
        <v>1</v>
      </c>
      <c r="O144" s="36">
        <f>IF(N60=$BQ$2,1,(IF(N60="",1,(IF(O61="",0,1)))))</f>
        <v>1</v>
      </c>
      <c r="R144" s="36">
        <f>IF(Q60=$BQ$2,1,(IF(Q60="",1,(IF(R61="",0,1)))))</f>
        <v>1</v>
      </c>
      <c r="U144" s="36">
        <f>IF(T60=$BQ$2,1,(IF(T60="",1,(IF(U61="",0,1)))))</f>
        <v>1</v>
      </c>
      <c r="X144" s="36">
        <f>IF(W60=$BQ$2,1,(IF(W60="",1,(IF(X61="",0,1)))))</f>
        <v>1</v>
      </c>
      <c r="AF144" s="36">
        <f t="shared" si="466"/>
        <v>23</v>
      </c>
      <c r="AG144" s="36"/>
      <c r="AH144" s="36">
        <f t="shared" si="467"/>
        <v>999</v>
      </c>
      <c r="AI144" s="36">
        <f t="shared" si="468"/>
        <v>999</v>
      </c>
      <c r="AM144" s="36">
        <f t="shared" si="469"/>
        <v>999</v>
      </c>
      <c r="AN144" s="36">
        <f t="shared" si="470"/>
        <v>999</v>
      </c>
      <c r="AR144" s="36">
        <f t="shared" si="471"/>
        <v>999</v>
      </c>
      <c r="AS144" s="36">
        <f t="shared" si="472"/>
        <v>999</v>
      </c>
      <c r="AW144" s="36">
        <f t="shared" si="473"/>
        <v>999</v>
      </c>
      <c r="AX144" s="36">
        <f t="shared" si="474"/>
        <v>999</v>
      </c>
      <c r="BB144" s="36">
        <f t="shared" si="475"/>
        <v>999</v>
      </c>
      <c r="BC144" s="36">
        <f t="shared" si="476"/>
        <v>999</v>
      </c>
      <c r="BT144" s="36">
        <f t="shared" si="459"/>
        <v>27</v>
      </c>
      <c r="BU144" s="138">
        <v>27</v>
      </c>
      <c r="BV144" s="36">
        <v>27</v>
      </c>
      <c r="BW144" s="36">
        <v>26</v>
      </c>
      <c r="BX144" s="36">
        <v>26</v>
      </c>
      <c r="BY144" s="36">
        <v>25</v>
      </c>
      <c r="BZ144" s="36">
        <v>25</v>
      </c>
      <c r="CA144" s="36">
        <v>24</v>
      </c>
      <c r="CB144" s="36">
        <v>24</v>
      </c>
      <c r="CC144" s="36">
        <v>23</v>
      </c>
      <c r="CD144" s="36">
        <v>23</v>
      </c>
      <c r="CE144" s="36">
        <v>22</v>
      </c>
      <c r="CU144" s="149"/>
      <c r="DP144" s="36">
        <f t="shared" si="433"/>
        <v>0</v>
      </c>
      <c r="DR144" s="138" t="str">
        <f t="shared" si="434"/>
        <v/>
      </c>
      <c r="DS144" s="36" t="str">
        <f t="shared" si="435"/>
        <v/>
      </c>
      <c r="DU144" s="296">
        <f t="shared" si="436"/>
        <v>0</v>
      </c>
      <c r="DV144" s="296"/>
      <c r="DW144" s="296"/>
      <c r="DX144" s="296">
        <f t="shared" si="437"/>
        <v>10000000000.000999</v>
      </c>
      <c r="DY144" s="296"/>
      <c r="DZ144" s="296"/>
      <c r="EA144" s="53">
        <f t="shared" si="438"/>
        <v>15</v>
      </c>
      <c r="EB144" s="296">
        <f t="shared" si="439"/>
        <v>10000000000.000999</v>
      </c>
      <c r="EC144" s="296"/>
      <c r="ED144" s="296"/>
      <c r="EF144" s="296">
        <f t="shared" si="440"/>
        <v>10000000000.000999</v>
      </c>
      <c r="EG144" s="296"/>
      <c r="EH144" s="296"/>
      <c r="EI144" s="134"/>
      <c r="EJ144" s="36">
        <f t="shared" si="441"/>
        <v>0</v>
      </c>
      <c r="EK144" s="36">
        <f t="shared" si="442"/>
        <v>15</v>
      </c>
      <c r="EM144" s="36">
        <f t="shared" si="478"/>
        <v>27</v>
      </c>
      <c r="EN144" s="149"/>
      <c r="EO144" s="398">
        <f t="shared" si="444"/>
        <v>0</v>
      </c>
      <c r="EP144" s="399"/>
      <c r="EQ144" s="53">
        <f t="shared" si="460"/>
        <v>0</v>
      </c>
      <c r="ER144" s="36">
        <f t="shared" si="445"/>
        <v>1</v>
      </c>
      <c r="ES144" s="36">
        <f t="shared" si="477"/>
        <v>99</v>
      </c>
      <c r="ET144" s="36">
        <f t="shared" si="461"/>
        <v>99</v>
      </c>
      <c r="EU144" s="36">
        <f t="shared" si="446"/>
        <v>99</v>
      </c>
      <c r="EW144" s="323">
        <f t="shared" si="447"/>
        <v>19999</v>
      </c>
      <c r="EX144" s="323"/>
      <c r="EZ144" s="323">
        <f>IF(EM144&gt;32,(10000+($EU$149)*100+$ES$149),(SMALL($EW$118:$EX$149,EM144)))</f>
        <v>19999</v>
      </c>
      <c r="FA144" s="323"/>
      <c r="FC144" s="36">
        <f t="shared" si="449"/>
        <v>5</v>
      </c>
      <c r="FF144" s="36">
        <f t="shared" si="450"/>
        <v>99</v>
      </c>
      <c r="FG144" s="36">
        <f t="shared" si="464"/>
        <v>99</v>
      </c>
      <c r="FI144" s="36">
        <f t="shared" si="451"/>
        <v>0</v>
      </c>
      <c r="FJ144" s="36" t="str">
        <f>IF(AD60="","",$FJ$115)</f>
        <v/>
      </c>
      <c r="FK144" s="36" t="str">
        <f t="shared" si="452"/>
        <v/>
      </c>
      <c r="FL144" s="36" t="str">
        <f t="shared" si="453"/>
        <v/>
      </c>
      <c r="FM144" s="36" t="str">
        <f t="shared" si="454"/>
        <v/>
      </c>
      <c r="FN144" s="36" t="str">
        <f>IF(FI144=$FF$142,$FG$142,IF(FI144=$FF$143,$FG$143,IF(FI144=$FF$144,$FG$144,IF(FI144=$FF$145,$FG$145,IF(FI144=$FF$146,$FG$146,IF(FI144=$FF$147,$FG$147,IF(FI144=$FF$148,$FG$148,IF(FI144=$FF$149,$FG$149,""))))))))</f>
        <v/>
      </c>
      <c r="FP144" s="36">
        <f t="shared" si="465"/>
        <v>0</v>
      </c>
      <c r="FQ144" s="36" t="str">
        <f t="shared" si="456"/>
        <v/>
      </c>
      <c r="FS144" s="36">
        <v>27</v>
      </c>
      <c r="FU144" s="138">
        <f>FU142+1</f>
        <v>14</v>
      </c>
      <c r="FW144" s="149" t="str">
        <f>FQ131</f>
        <v/>
      </c>
    </row>
    <row r="145" spans="4:179" ht="12.75" hidden="1" customHeight="1" x14ac:dyDescent="0.25">
      <c r="D145" s="37">
        <v>28</v>
      </c>
      <c r="F145" s="36">
        <f>IF(E62=$BQ$2,1,(IF(E62="",1,(IF(F62="",0,1)))))</f>
        <v>1</v>
      </c>
      <c r="I145" s="36">
        <f>IF(H62=$BQ$2,1,(IF(H62="",1,(IF(I62="",0,1)))))</f>
        <v>1</v>
      </c>
      <c r="L145" s="36">
        <f>IF(K62=$BQ$2,1,(IF(K62="",1,(IF(L62="",0,1)))))</f>
        <v>1</v>
      </c>
      <c r="O145" s="36">
        <f>IF(N62=$BQ$2,1,(IF(N62="",1,(IF(O62="",0,1)))))</f>
        <v>1</v>
      </c>
      <c r="R145" s="36">
        <f>IF(Q62=$BQ$2,1,(IF(Q62="",1,(IF(R62="",0,1)))))</f>
        <v>1</v>
      </c>
      <c r="U145" s="36">
        <f>IF(T62=$BQ$2,1,(IF(T62="",1,(IF(U62="",0,1)))))</f>
        <v>1</v>
      </c>
      <c r="X145" s="36">
        <f>IF(W62=$BQ$2,1,(IF(W62="",1,(IF(X62="",0,1)))))</f>
        <v>1</v>
      </c>
      <c r="AF145" s="36">
        <f t="shared" si="466"/>
        <v>24</v>
      </c>
      <c r="AG145" s="36"/>
      <c r="AH145" s="36">
        <f t="shared" si="467"/>
        <v>999</v>
      </c>
      <c r="AI145" s="36">
        <f t="shared" si="468"/>
        <v>999</v>
      </c>
      <c r="AM145" s="36">
        <f t="shared" si="469"/>
        <v>999</v>
      </c>
      <c r="AN145" s="36">
        <f t="shared" si="470"/>
        <v>999</v>
      </c>
      <c r="AR145" s="36">
        <f t="shared" si="471"/>
        <v>999</v>
      </c>
      <c r="AS145" s="36">
        <f t="shared" si="472"/>
        <v>999</v>
      </c>
      <c r="AW145" s="36">
        <f t="shared" si="473"/>
        <v>999</v>
      </c>
      <c r="AX145" s="36">
        <f t="shared" si="474"/>
        <v>999</v>
      </c>
      <c r="BB145" s="36">
        <f t="shared" si="475"/>
        <v>999</v>
      </c>
      <c r="BC145" s="36">
        <f t="shared" si="476"/>
        <v>999</v>
      </c>
      <c r="BT145" s="36">
        <f t="shared" si="459"/>
        <v>28</v>
      </c>
      <c r="BU145" s="138">
        <v>28</v>
      </c>
      <c r="BV145" s="36">
        <v>28</v>
      </c>
      <c r="BW145" s="36">
        <v>27</v>
      </c>
      <c r="BX145" s="36">
        <v>27</v>
      </c>
      <c r="BY145" s="36">
        <v>26</v>
      </c>
      <c r="BZ145" s="36">
        <v>26</v>
      </c>
      <c r="CA145" s="36">
        <v>25</v>
      </c>
      <c r="CB145" s="36">
        <v>25</v>
      </c>
      <c r="CC145" s="36">
        <v>24</v>
      </c>
      <c r="CU145" s="149"/>
      <c r="DP145" s="36">
        <f t="shared" si="433"/>
        <v>0</v>
      </c>
      <c r="DR145" s="138" t="str">
        <f t="shared" si="434"/>
        <v/>
      </c>
      <c r="DS145" s="36" t="str">
        <f t="shared" si="435"/>
        <v/>
      </c>
      <c r="DU145" s="296">
        <f t="shared" si="436"/>
        <v>0</v>
      </c>
      <c r="DV145" s="296"/>
      <c r="DW145" s="296"/>
      <c r="DX145" s="296">
        <f t="shared" si="437"/>
        <v>10000000000.000999</v>
      </c>
      <c r="DY145" s="296"/>
      <c r="DZ145" s="296"/>
      <c r="EA145" s="53">
        <f t="shared" si="438"/>
        <v>15</v>
      </c>
      <c r="EB145" s="296">
        <f t="shared" si="439"/>
        <v>10000000000.000999</v>
      </c>
      <c r="EC145" s="296"/>
      <c r="ED145" s="296"/>
      <c r="EF145" s="296">
        <f t="shared" si="440"/>
        <v>10000000000.000999</v>
      </c>
      <c r="EG145" s="296"/>
      <c r="EH145" s="296"/>
      <c r="EI145" s="134"/>
      <c r="EJ145" s="36">
        <f t="shared" si="441"/>
        <v>0</v>
      </c>
      <c r="EK145" s="36">
        <f t="shared" si="442"/>
        <v>15</v>
      </c>
      <c r="EM145" s="36">
        <f t="shared" si="478"/>
        <v>28</v>
      </c>
      <c r="EN145" s="149"/>
      <c r="EO145" s="398">
        <f t="shared" si="444"/>
        <v>0</v>
      </c>
      <c r="EP145" s="399"/>
      <c r="EQ145" s="53">
        <f t="shared" si="460"/>
        <v>0</v>
      </c>
      <c r="ER145" s="36">
        <f t="shared" si="445"/>
        <v>1</v>
      </c>
      <c r="ES145" s="36">
        <f t="shared" si="477"/>
        <v>99</v>
      </c>
      <c r="ET145" s="36">
        <f t="shared" si="461"/>
        <v>99</v>
      </c>
      <c r="EU145" s="36">
        <f>IF(ES145&gt;$EU$111,99,(VALUE(MID(EF145,EK145-2,2))))</f>
        <v>99</v>
      </c>
      <c r="EW145" s="323">
        <f t="shared" si="447"/>
        <v>19999</v>
      </c>
      <c r="EX145" s="323"/>
      <c r="EZ145" s="323">
        <f>IF(EM145&gt;32,(10000+($EU$149)*100+$ES$149),(SMALL($EW$118:$EX$149,EM145)))</f>
        <v>19999</v>
      </c>
      <c r="FA145" s="323"/>
      <c r="FC145" s="36">
        <f t="shared" si="449"/>
        <v>5</v>
      </c>
      <c r="FF145" s="36">
        <f>VALUE(MID(EZ145,2,2))</f>
        <v>99</v>
      </c>
      <c r="FG145" s="36">
        <f t="shared" si="464"/>
        <v>99</v>
      </c>
      <c r="FI145" s="36">
        <f>DP145</f>
        <v>0</v>
      </c>
      <c r="FJ145" s="36" t="str">
        <f>IF(AD62="","",$FJ$115)</f>
        <v/>
      </c>
      <c r="FK145" s="36" t="str">
        <f t="shared" si="452"/>
        <v/>
      </c>
      <c r="FL145" s="36" t="str">
        <f t="shared" si="453"/>
        <v/>
      </c>
      <c r="FM145" s="36" t="str">
        <f t="shared" si="454"/>
        <v/>
      </c>
      <c r="FN145" s="36" t="str">
        <f>IF(FI145=$FF$142,$FG$142,IF(FI145=$FF$143,$FG$143,IF(FI145=$FF$144,$FG$144,IF(FI145=$FF$145,$FG$145,IF(FI145=$FF$146,$FG$146,IF(FI145=$FF$147,$FG$147,IF(FI145=$FF$148,$FG$148,IF(FI145=$FF$149,$FG$149,""))))))))</f>
        <v/>
      </c>
      <c r="FP145" s="36">
        <f>SUM(FK145:FN145)</f>
        <v>0</v>
      </c>
      <c r="FQ145" s="36" t="str">
        <f t="shared" si="456"/>
        <v/>
      </c>
      <c r="FS145" s="36">
        <v>28</v>
      </c>
      <c r="FU145" s="138"/>
      <c r="FW145" s="149"/>
    </row>
    <row r="146" spans="4:179" ht="12.75" hidden="1" customHeight="1" x14ac:dyDescent="0.25">
      <c r="D146" s="37"/>
      <c r="F146" s="36">
        <f>IF(E62=$BQ$2,1,(IF(E62="",1,(IF(F63="",0,1)))))</f>
        <v>1</v>
      </c>
      <c r="I146" s="36">
        <f>IF(H62=$BQ$2,1,(IF(H62="",1,(IF(I63="",0,1)))))</f>
        <v>1</v>
      </c>
      <c r="L146" s="36">
        <f>IF(K62=$BQ$2,1,(IF(K62="",1,(IF(L63="",0,1)))))</f>
        <v>1</v>
      </c>
      <c r="O146" s="36">
        <f>IF(N62=$BQ$2,1,(IF(N62="",1,(IF(O63="",0,1)))))</f>
        <v>1</v>
      </c>
      <c r="R146" s="36">
        <f>IF(Q62=$BQ$2,1,(IF(Q62="",1,(IF(R63="",0,1)))))</f>
        <v>1</v>
      </c>
      <c r="U146" s="36">
        <f>IF(T62=$BQ$2,1,(IF(T62="",1,(IF(U63="",0,1)))))</f>
        <v>1</v>
      </c>
      <c r="X146" s="36">
        <f>IF(W62=$BQ$2,1,(IF(W62="",1,(IF(X63="",0,1)))))</f>
        <v>1</v>
      </c>
      <c r="AF146" s="36">
        <f t="shared" si="466"/>
        <v>25</v>
      </c>
      <c r="AG146" s="36"/>
      <c r="AH146" s="36">
        <f t="shared" si="467"/>
        <v>999</v>
      </c>
      <c r="AI146" s="36">
        <f t="shared" si="468"/>
        <v>999</v>
      </c>
      <c r="AM146" s="36">
        <f t="shared" si="469"/>
        <v>999</v>
      </c>
      <c r="AN146" s="36">
        <f t="shared" si="470"/>
        <v>999</v>
      </c>
      <c r="AR146" s="36">
        <f t="shared" si="471"/>
        <v>999</v>
      </c>
      <c r="AS146" s="36">
        <f t="shared" si="472"/>
        <v>999</v>
      </c>
      <c r="AW146" s="36">
        <f t="shared" si="473"/>
        <v>999</v>
      </c>
      <c r="AX146" s="36">
        <f t="shared" si="474"/>
        <v>999</v>
      </c>
      <c r="BB146" s="36">
        <f t="shared" si="475"/>
        <v>999</v>
      </c>
      <c r="BC146" s="36">
        <f t="shared" si="476"/>
        <v>999</v>
      </c>
      <c r="BT146" s="36">
        <f t="shared" si="459"/>
        <v>29</v>
      </c>
      <c r="BU146" s="138">
        <v>29</v>
      </c>
      <c r="BV146" s="36">
        <v>29</v>
      </c>
      <c r="BW146" s="36">
        <v>28</v>
      </c>
      <c r="BX146" s="36">
        <v>28</v>
      </c>
      <c r="BY146" s="36">
        <v>27</v>
      </c>
      <c r="BZ146" s="36">
        <v>27</v>
      </c>
      <c r="CA146" s="36">
        <v>26</v>
      </c>
      <c r="CU146" s="149"/>
      <c r="DP146" s="36">
        <f t="shared" si="433"/>
        <v>0</v>
      </c>
      <c r="DR146" s="138" t="str">
        <f t="shared" si="434"/>
        <v/>
      </c>
      <c r="DS146" s="36" t="str">
        <f t="shared" si="435"/>
        <v/>
      </c>
      <c r="DU146" s="296">
        <f t="shared" si="436"/>
        <v>0</v>
      </c>
      <c r="DV146" s="296"/>
      <c r="DW146" s="296"/>
      <c r="DX146" s="296">
        <f t="shared" si="437"/>
        <v>10000000000.000999</v>
      </c>
      <c r="DY146" s="296"/>
      <c r="DZ146" s="296"/>
      <c r="EA146" s="53">
        <f t="shared" si="438"/>
        <v>15</v>
      </c>
      <c r="EB146" s="296">
        <f t="shared" si="439"/>
        <v>10000000000.000999</v>
      </c>
      <c r="EC146" s="296"/>
      <c r="ED146" s="296"/>
      <c r="EF146" s="296">
        <f>LARGE($EB$118:$ED$149,BT146)</f>
        <v>10000000000.000999</v>
      </c>
      <c r="EG146" s="296"/>
      <c r="EH146" s="296"/>
      <c r="EI146" s="134"/>
      <c r="EJ146" s="36">
        <f t="shared" si="441"/>
        <v>0</v>
      </c>
      <c r="EK146" s="36">
        <f t="shared" si="442"/>
        <v>15</v>
      </c>
      <c r="EM146" s="36">
        <f t="shared" si="478"/>
        <v>29</v>
      </c>
      <c r="EN146" s="149"/>
      <c r="EO146" s="398">
        <f>IF((VALUE((MID(EF146,1,1))))&gt;1,((MID(EF146,1,6))*100),(MID(EF146,2,EK146-3)))+0.001*EQ146</f>
        <v>0</v>
      </c>
      <c r="EP146" s="399"/>
      <c r="EQ146" s="53">
        <f t="shared" si="460"/>
        <v>0</v>
      </c>
      <c r="ER146" s="36">
        <f t="shared" si="445"/>
        <v>1</v>
      </c>
      <c r="ES146" s="36">
        <f t="shared" si="477"/>
        <v>99</v>
      </c>
      <c r="ET146" s="36">
        <f t="shared" si="461"/>
        <v>99</v>
      </c>
      <c r="EU146" s="36">
        <f>IF(ES146&gt;$EU$111,99,(VALUE(MID(EF146,EK146-2,2))))</f>
        <v>99</v>
      </c>
      <c r="EW146" s="323">
        <f>(100+EU146)*100+ET146</f>
        <v>19999</v>
      </c>
      <c r="EX146" s="323"/>
      <c r="EZ146" s="323">
        <f>IF(EM146&gt;32,(10000+($EU$149)*100+$ES$149),(SMALL($EW$118:$EX$149,EM146)))</f>
        <v>19999</v>
      </c>
      <c r="FA146" s="323"/>
      <c r="FC146" s="36">
        <f t="shared" si="449"/>
        <v>5</v>
      </c>
      <c r="FF146" s="36">
        <f t="shared" si="450"/>
        <v>99</v>
      </c>
      <c r="FG146" s="36">
        <f t="shared" si="464"/>
        <v>99</v>
      </c>
      <c r="FI146" s="36">
        <f t="shared" si="451"/>
        <v>0</v>
      </c>
      <c r="FJ146" s="36" t="str">
        <f>IF(AD64="","",$FJ$115)</f>
        <v/>
      </c>
      <c r="FK146" s="36" t="str">
        <f t="shared" si="452"/>
        <v/>
      </c>
      <c r="FL146" s="36" t="str">
        <f t="shared" si="453"/>
        <v/>
      </c>
      <c r="FM146" s="36" t="str">
        <f t="shared" si="454"/>
        <v/>
      </c>
      <c r="FN146" s="36" t="str">
        <f>IF(FI146=$FF$142,$FG$142,IF(FI146=$FF$143,$FG$143,IF(FI146=$FF$144,$FG$144,IF(FI146=$FF$145,$FG$145,IF(FI146=$FF$146,$FG$146,IF(FI146=$FF$147,$FG$147,IF(FI146=$FF$148,$FG$148,IF(FI146=$FF$149,$FG$149,""))))))))</f>
        <v/>
      </c>
      <c r="FP146" s="36">
        <f t="shared" si="465"/>
        <v>0</v>
      </c>
      <c r="FQ146" s="36" t="str">
        <f t="shared" si="456"/>
        <v/>
      </c>
      <c r="FS146" s="36">
        <v>29</v>
      </c>
      <c r="FU146" s="138">
        <f>FU144+1</f>
        <v>15</v>
      </c>
      <c r="FW146" s="149" t="str">
        <f>FQ132</f>
        <v/>
      </c>
    </row>
    <row r="147" spans="4:179" ht="12.75" hidden="1" customHeight="1" x14ac:dyDescent="0.25">
      <c r="D147" s="37">
        <v>29</v>
      </c>
      <c r="F147" s="36">
        <f>IF(E64=$BQ$2,1,(IF(E64="",1,(IF(F64="",0,1)))))</f>
        <v>1</v>
      </c>
      <c r="I147" s="36">
        <f>IF(H64=$BQ$2,1,(IF(H64="",1,(IF(I64="",0,1)))))</f>
        <v>1</v>
      </c>
      <c r="L147" s="36">
        <f>IF(K64=$BQ$2,1,(IF(K64="",1,(IF(L64="",0,1)))))</f>
        <v>1</v>
      </c>
      <c r="O147" s="36">
        <f>IF(N64=$BQ$2,1,(IF(N64="",1,(IF(O64="",0,1)))))</f>
        <v>1</v>
      </c>
      <c r="R147" s="36">
        <f>IF(Q64=$BQ$2,1,(IF(Q64="",1,(IF(R64="",0,1)))))</f>
        <v>1</v>
      </c>
      <c r="U147" s="36">
        <f>IF(T64=$BQ$2,1,(IF(T64="",1,(IF(U64="",0,1)))))</f>
        <v>1</v>
      </c>
      <c r="X147" s="36">
        <f>IF(W64=$BQ$2,1,(IF(W64="",1,(IF(X64="",0,1)))))</f>
        <v>1</v>
      </c>
      <c r="AF147" s="36">
        <f t="shared" si="466"/>
        <v>26</v>
      </c>
      <c r="AG147" s="36"/>
      <c r="AH147" s="36">
        <f t="shared" si="467"/>
        <v>999</v>
      </c>
      <c r="AI147" s="36">
        <f t="shared" si="468"/>
        <v>999</v>
      </c>
      <c r="AM147" s="36">
        <f t="shared" si="469"/>
        <v>999</v>
      </c>
      <c r="AN147" s="36">
        <f t="shared" si="470"/>
        <v>999</v>
      </c>
      <c r="AR147" s="36">
        <f t="shared" si="471"/>
        <v>999</v>
      </c>
      <c r="AS147" s="36">
        <f t="shared" si="472"/>
        <v>999</v>
      </c>
      <c r="AW147" s="36">
        <f t="shared" si="473"/>
        <v>999</v>
      </c>
      <c r="AX147" s="36">
        <f t="shared" si="474"/>
        <v>999</v>
      </c>
      <c r="BB147" s="36">
        <f t="shared" si="475"/>
        <v>999</v>
      </c>
      <c r="BC147" s="36">
        <f t="shared" si="476"/>
        <v>999</v>
      </c>
      <c r="BT147" s="36">
        <f t="shared" si="459"/>
        <v>30</v>
      </c>
      <c r="BU147" s="138">
        <v>30</v>
      </c>
      <c r="BV147" s="36">
        <v>30</v>
      </c>
      <c r="BW147" s="36">
        <v>29</v>
      </c>
      <c r="BX147" s="36">
        <v>29</v>
      </c>
      <c r="BY147" s="36">
        <v>28</v>
      </c>
      <c r="CU147" s="149"/>
      <c r="DP147" s="36">
        <f t="shared" si="433"/>
        <v>0</v>
      </c>
      <c r="DR147" s="138" t="str">
        <f t="shared" si="434"/>
        <v/>
      </c>
      <c r="DS147" s="36" t="str">
        <f t="shared" si="435"/>
        <v/>
      </c>
      <c r="DU147" s="296">
        <f t="shared" si="436"/>
        <v>0</v>
      </c>
      <c r="DV147" s="296"/>
      <c r="DW147" s="296"/>
      <c r="DX147" s="296">
        <f t="shared" si="437"/>
        <v>10000000000.000999</v>
      </c>
      <c r="DY147" s="296"/>
      <c r="DZ147" s="296"/>
      <c r="EA147" s="53">
        <f t="shared" si="438"/>
        <v>15</v>
      </c>
      <c r="EB147" s="296">
        <f t="shared" si="439"/>
        <v>10000000000.000999</v>
      </c>
      <c r="EC147" s="296"/>
      <c r="ED147" s="296"/>
      <c r="EF147" s="296">
        <f>LARGE($EB$118:$ED$149,BT147)</f>
        <v>10000000000.000999</v>
      </c>
      <c r="EG147" s="296"/>
      <c r="EH147" s="296"/>
      <c r="EI147" s="134"/>
      <c r="EJ147" s="36">
        <f t="shared" si="441"/>
        <v>0</v>
      </c>
      <c r="EK147" s="36">
        <f t="shared" si="442"/>
        <v>15</v>
      </c>
      <c r="EM147" s="36">
        <f t="shared" si="478"/>
        <v>30</v>
      </c>
      <c r="EN147" s="149"/>
      <c r="EO147" s="398">
        <f t="shared" si="444"/>
        <v>0</v>
      </c>
      <c r="EP147" s="399"/>
      <c r="EQ147" s="53">
        <f t="shared" si="460"/>
        <v>0</v>
      </c>
      <c r="ER147" s="36">
        <f t="shared" si="445"/>
        <v>1</v>
      </c>
      <c r="ES147" s="36">
        <f t="shared" si="477"/>
        <v>99</v>
      </c>
      <c r="ET147" s="36">
        <f t="shared" si="461"/>
        <v>99</v>
      </c>
      <c r="EU147" s="36">
        <f>IF(ES147&gt;$EU$111,99,(VALUE(MID(EF147,EK147-2,2))))</f>
        <v>99</v>
      </c>
      <c r="EW147" s="323">
        <f>(100+EU147)*100+ET147</f>
        <v>19999</v>
      </c>
      <c r="EX147" s="323"/>
      <c r="EZ147" s="323">
        <f t="shared" si="448"/>
        <v>19999</v>
      </c>
      <c r="FA147" s="323"/>
      <c r="FC147" s="36">
        <f t="shared" si="449"/>
        <v>5</v>
      </c>
      <c r="FF147" s="36">
        <f t="shared" si="450"/>
        <v>99</v>
      </c>
      <c r="FG147" s="36">
        <f t="shared" si="464"/>
        <v>99</v>
      </c>
      <c r="FI147" s="36">
        <f t="shared" si="451"/>
        <v>0</v>
      </c>
      <c r="FJ147" s="36" t="str">
        <f>IF(AD66="","",$FJ$115)</f>
        <v/>
      </c>
      <c r="FK147" s="36" t="str">
        <f t="shared" si="452"/>
        <v/>
      </c>
      <c r="FL147" s="36" t="str">
        <f t="shared" si="453"/>
        <v/>
      </c>
      <c r="FM147" s="36" t="str">
        <f t="shared" si="454"/>
        <v/>
      </c>
      <c r="FN147" s="36" t="str">
        <f t="shared" si="455"/>
        <v/>
      </c>
      <c r="FP147" s="36">
        <f t="shared" si="465"/>
        <v>0</v>
      </c>
      <c r="FQ147" s="36" t="str">
        <f t="shared" si="456"/>
        <v/>
      </c>
      <c r="FS147" s="36">
        <v>30</v>
      </c>
      <c r="FU147" s="138"/>
      <c r="FW147" s="149"/>
    </row>
    <row r="148" spans="4:179" ht="12.75" hidden="1" customHeight="1" x14ac:dyDescent="0.25">
      <c r="D148" s="37"/>
      <c r="F148" s="36">
        <f>IF(E64=$BQ$2,1,(IF(E64="",1,(IF(F65="",0,1)))))</f>
        <v>1</v>
      </c>
      <c r="I148" s="36">
        <f>IF(H64=$BQ$2,1,(IF(H64="",1,(IF(I65="",0,1)))))</f>
        <v>1</v>
      </c>
      <c r="L148" s="36">
        <f>IF(K64=$BQ$2,1,(IF(K64="",1,(IF(L65="",0,1)))))</f>
        <v>1</v>
      </c>
      <c r="O148" s="36">
        <f>IF(N64=$BQ$2,1,(IF(N64="",1,(IF(O65="",0,1)))))</f>
        <v>1</v>
      </c>
      <c r="R148" s="36">
        <f>IF(Q64=$BQ$2,1,(IF(Q64="",1,(IF(R65="",0,1)))))</f>
        <v>1</v>
      </c>
      <c r="U148" s="36">
        <f>IF(T64=$BQ$2,1,(IF(T64="",1,(IF(U65="",0,1)))))</f>
        <v>1</v>
      </c>
      <c r="X148" s="36">
        <f>IF(W64=$BQ$2,1,(IF(W64="",1,(IF(X65="",0,1)))))</f>
        <v>1</v>
      </c>
      <c r="AF148" s="36">
        <f t="shared" si="466"/>
        <v>27</v>
      </c>
      <c r="AG148" s="36"/>
      <c r="AH148" s="36">
        <f t="shared" si="467"/>
        <v>999</v>
      </c>
      <c r="AI148" s="36">
        <f t="shared" si="468"/>
        <v>999</v>
      </c>
      <c r="AM148" s="36">
        <f t="shared" si="469"/>
        <v>999</v>
      </c>
      <c r="AN148" s="36">
        <f t="shared" si="470"/>
        <v>999</v>
      </c>
      <c r="AR148" s="36">
        <f t="shared" si="471"/>
        <v>999</v>
      </c>
      <c r="AS148" s="36">
        <f t="shared" si="472"/>
        <v>999</v>
      </c>
      <c r="AW148" s="36">
        <f t="shared" si="473"/>
        <v>999</v>
      </c>
      <c r="AX148" s="36">
        <f t="shared" si="474"/>
        <v>999</v>
      </c>
      <c r="BB148" s="36">
        <f t="shared" si="475"/>
        <v>999</v>
      </c>
      <c r="BC148" s="36">
        <f t="shared" si="476"/>
        <v>999</v>
      </c>
      <c r="BT148" s="36">
        <f t="shared" si="459"/>
        <v>31</v>
      </c>
      <c r="BU148" s="138">
        <v>31</v>
      </c>
      <c r="BV148" s="36">
        <v>31</v>
      </c>
      <c r="BW148" s="36">
        <v>30</v>
      </c>
      <c r="CU148" s="149"/>
      <c r="DP148" s="36">
        <f t="shared" si="433"/>
        <v>0</v>
      </c>
      <c r="DR148" s="138" t="str">
        <f t="shared" si="434"/>
        <v/>
      </c>
      <c r="DS148" s="36" t="str">
        <f t="shared" si="435"/>
        <v/>
      </c>
      <c r="DU148" s="296">
        <f t="shared" si="436"/>
        <v>0</v>
      </c>
      <c r="DV148" s="296"/>
      <c r="DW148" s="296"/>
      <c r="DX148" s="296">
        <f t="shared" si="437"/>
        <v>10000000000.000999</v>
      </c>
      <c r="DY148" s="296"/>
      <c r="DZ148" s="296"/>
      <c r="EA148" s="53">
        <f t="shared" si="438"/>
        <v>15</v>
      </c>
      <c r="EB148" s="296">
        <f t="shared" si="439"/>
        <v>10000000000.000999</v>
      </c>
      <c r="EC148" s="296"/>
      <c r="ED148" s="296"/>
      <c r="EF148" s="296">
        <f t="shared" si="440"/>
        <v>10000000000.000999</v>
      </c>
      <c r="EG148" s="296"/>
      <c r="EH148" s="296"/>
      <c r="EI148" s="134"/>
      <c r="EJ148" s="36">
        <f t="shared" si="441"/>
        <v>0</v>
      </c>
      <c r="EK148" s="36">
        <f t="shared" si="442"/>
        <v>15</v>
      </c>
      <c r="EM148" s="36">
        <f t="shared" si="478"/>
        <v>31</v>
      </c>
      <c r="EN148" s="149"/>
      <c r="EO148" s="398">
        <f t="shared" si="444"/>
        <v>0</v>
      </c>
      <c r="EP148" s="399"/>
      <c r="EQ148" s="53">
        <f t="shared" si="460"/>
        <v>0</v>
      </c>
      <c r="ER148" s="36">
        <f t="shared" si="445"/>
        <v>1</v>
      </c>
      <c r="ES148" s="36">
        <f t="shared" si="477"/>
        <v>99</v>
      </c>
      <c r="ET148" s="36">
        <f t="shared" si="461"/>
        <v>99</v>
      </c>
      <c r="EU148" s="36">
        <f t="shared" si="446"/>
        <v>99</v>
      </c>
      <c r="EW148" s="323">
        <f t="shared" si="447"/>
        <v>19999</v>
      </c>
      <c r="EX148" s="323"/>
      <c r="EZ148" s="323">
        <f t="shared" si="448"/>
        <v>19999</v>
      </c>
      <c r="FA148" s="323"/>
      <c r="FC148" s="36">
        <f t="shared" si="449"/>
        <v>5</v>
      </c>
      <c r="FF148" s="36">
        <f t="shared" si="450"/>
        <v>99</v>
      </c>
      <c r="FG148" s="36">
        <f t="shared" si="464"/>
        <v>99</v>
      </c>
      <c r="FI148" s="36">
        <f t="shared" si="451"/>
        <v>0</v>
      </c>
      <c r="FJ148" s="36" t="str">
        <f>IF(AD68="","",$FJ$115)</f>
        <v/>
      </c>
      <c r="FK148" s="36" t="str">
        <f t="shared" si="452"/>
        <v/>
      </c>
      <c r="FL148" s="36" t="str">
        <f t="shared" si="453"/>
        <v/>
      </c>
      <c r="FM148" s="36" t="str">
        <f t="shared" si="454"/>
        <v/>
      </c>
      <c r="FN148" s="36" t="str">
        <f t="shared" si="455"/>
        <v/>
      </c>
      <c r="FP148" s="36">
        <f t="shared" si="465"/>
        <v>0</v>
      </c>
      <c r="FQ148" s="36" t="str">
        <f t="shared" si="456"/>
        <v/>
      </c>
      <c r="FS148" s="36">
        <v>31</v>
      </c>
      <c r="FU148" s="138">
        <f>FU146+1</f>
        <v>16</v>
      </c>
      <c r="FW148" s="149" t="str">
        <f>FQ133</f>
        <v/>
      </c>
    </row>
    <row r="149" spans="4:179" ht="12.75" hidden="1" customHeight="1" x14ac:dyDescent="0.25">
      <c r="D149" s="37">
        <v>30</v>
      </c>
      <c r="F149" s="36">
        <f>IF(E66=$BQ$2,1,(IF(E66="",1,(IF(F66="",0,1)))))</f>
        <v>1</v>
      </c>
      <c r="I149" s="36">
        <f>IF(H66=$BQ$2,1,(IF(H66="",1,(IF(I66="",0,1)))))</f>
        <v>1</v>
      </c>
      <c r="L149" s="36">
        <f>IF(K66=$BQ$2,1,(IF(K66="",1,(IF(L66="",0,1)))))</f>
        <v>1</v>
      </c>
      <c r="O149" s="36">
        <f>IF(N66=$BQ$2,1,(IF(N66="",1,(IF(O66="",0,1)))))</f>
        <v>1</v>
      </c>
      <c r="R149" s="36">
        <f>IF(Q66=$BQ$2,1,(IF(Q66="",1,(IF(R66="",0,1)))))</f>
        <v>1</v>
      </c>
      <c r="U149" s="36">
        <f>IF(T66=$BQ$2,1,(IF(T66="",1,(IF(U66="",0,1)))))</f>
        <v>1</v>
      </c>
      <c r="X149" s="36">
        <f>IF(W66=$BQ$2,1,(IF(W66="",1,(IF(X66="",0,1)))))</f>
        <v>1</v>
      </c>
      <c r="AF149" s="36">
        <f t="shared" si="466"/>
        <v>28</v>
      </c>
      <c r="AG149" s="36"/>
      <c r="AH149" s="36">
        <f t="shared" si="467"/>
        <v>999</v>
      </c>
      <c r="AI149" s="36">
        <f t="shared" si="468"/>
        <v>999</v>
      </c>
      <c r="AM149" s="36">
        <f t="shared" si="469"/>
        <v>999</v>
      </c>
      <c r="AN149" s="36">
        <f t="shared" si="470"/>
        <v>999</v>
      </c>
      <c r="AR149" s="36">
        <f t="shared" si="471"/>
        <v>999</v>
      </c>
      <c r="AS149" s="36">
        <f t="shared" si="472"/>
        <v>999</v>
      </c>
      <c r="AW149" s="36">
        <f t="shared" si="473"/>
        <v>999</v>
      </c>
      <c r="AX149" s="36">
        <f t="shared" si="474"/>
        <v>999</v>
      </c>
      <c r="BB149" s="36">
        <f t="shared" si="475"/>
        <v>999</v>
      </c>
      <c r="BC149" s="36">
        <f t="shared" si="476"/>
        <v>999</v>
      </c>
      <c r="BT149" s="36">
        <f t="shared" si="459"/>
        <v>32</v>
      </c>
      <c r="BU149" s="142">
        <v>32</v>
      </c>
      <c r="BV149" s="83"/>
      <c r="BW149" s="83"/>
      <c r="BX149" s="83"/>
      <c r="BY149" s="83"/>
      <c r="BZ149" s="83"/>
      <c r="CA149" s="83"/>
      <c r="CB149" s="83"/>
      <c r="CC149" s="83"/>
      <c r="CD149" s="83"/>
      <c r="CE149" s="83"/>
      <c r="CF149" s="83"/>
      <c r="CG149" s="83"/>
      <c r="CH149" s="83"/>
      <c r="CI149" s="83"/>
      <c r="CJ149" s="83"/>
      <c r="CK149" s="83"/>
      <c r="CL149" s="83"/>
      <c r="CM149" s="83"/>
      <c r="CN149" s="83"/>
      <c r="CO149" s="83"/>
      <c r="CP149" s="83"/>
      <c r="CQ149" s="83"/>
      <c r="CR149" s="83"/>
      <c r="CS149" s="83"/>
      <c r="CT149" s="83"/>
      <c r="CU149" s="143"/>
      <c r="DP149" s="36">
        <f t="shared" si="433"/>
        <v>0</v>
      </c>
      <c r="DR149" s="142" t="str">
        <f t="shared" si="434"/>
        <v/>
      </c>
      <c r="DS149" s="83" t="str">
        <f t="shared" si="435"/>
        <v/>
      </c>
      <c r="DT149" s="83"/>
      <c r="DU149" s="397">
        <f t="shared" si="436"/>
        <v>0</v>
      </c>
      <c r="DV149" s="397"/>
      <c r="DW149" s="397"/>
      <c r="DX149" s="296">
        <f t="shared" si="437"/>
        <v>10000000000.000999</v>
      </c>
      <c r="DY149" s="296"/>
      <c r="DZ149" s="296"/>
      <c r="EA149" s="188">
        <f t="shared" si="438"/>
        <v>15</v>
      </c>
      <c r="EB149" s="397">
        <f t="shared" si="439"/>
        <v>10000000000.000999</v>
      </c>
      <c r="EC149" s="397"/>
      <c r="ED149" s="397"/>
      <c r="EE149" s="83"/>
      <c r="EF149" s="397">
        <f t="shared" si="440"/>
        <v>10000000000.000999</v>
      </c>
      <c r="EG149" s="397"/>
      <c r="EH149" s="397"/>
      <c r="EI149" s="276"/>
      <c r="EJ149" s="36">
        <f t="shared" si="441"/>
        <v>0</v>
      </c>
      <c r="EK149" s="83">
        <f t="shared" si="442"/>
        <v>15</v>
      </c>
      <c r="EL149" s="83"/>
      <c r="EM149" s="83">
        <f t="shared" si="478"/>
        <v>32</v>
      </c>
      <c r="EN149" s="143"/>
      <c r="EO149" s="398">
        <f t="shared" si="444"/>
        <v>0</v>
      </c>
      <c r="EP149" s="399"/>
      <c r="EQ149" s="53">
        <f t="shared" si="460"/>
        <v>0</v>
      </c>
      <c r="ER149" s="36">
        <f t="shared" si="445"/>
        <v>1</v>
      </c>
      <c r="ES149" s="36">
        <f t="shared" si="477"/>
        <v>99</v>
      </c>
      <c r="ET149" s="36">
        <f t="shared" si="461"/>
        <v>99</v>
      </c>
      <c r="EU149" s="36">
        <f t="shared" si="446"/>
        <v>99</v>
      </c>
      <c r="EW149" s="323">
        <f t="shared" si="447"/>
        <v>19999</v>
      </c>
      <c r="EX149" s="323"/>
      <c r="EZ149" s="323">
        <f t="shared" si="448"/>
        <v>19999</v>
      </c>
      <c r="FA149" s="323"/>
      <c r="FC149" s="36">
        <f t="shared" si="449"/>
        <v>5</v>
      </c>
      <c r="FF149" s="36">
        <f t="shared" si="450"/>
        <v>99</v>
      </c>
      <c r="FG149" s="36">
        <f t="shared" si="464"/>
        <v>99</v>
      </c>
      <c r="FI149" s="36">
        <f t="shared" si="451"/>
        <v>0</v>
      </c>
      <c r="FJ149" s="36" t="str">
        <f>IF(AD70="","",$FJ$115)</f>
        <v/>
      </c>
      <c r="FK149" s="36" t="str">
        <f t="shared" si="452"/>
        <v/>
      </c>
      <c r="FL149" s="36" t="str">
        <f t="shared" si="453"/>
        <v/>
      </c>
      <c r="FM149" s="36" t="str">
        <f t="shared" si="454"/>
        <v/>
      </c>
      <c r="FN149" s="36" t="str">
        <f t="shared" si="455"/>
        <v/>
      </c>
      <c r="FP149" s="36">
        <f t="shared" si="465"/>
        <v>0</v>
      </c>
      <c r="FQ149" s="36" t="str">
        <f t="shared" si="456"/>
        <v/>
      </c>
      <c r="FS149" s="36">
        <v>32</v>
      </c>
      <c r="FU149" s="138"/>
      <c r="FW149" s="149"/>
    </row>
    <row r="150" spans="4:179" hidden="1" x14ac:dyDescent="0.25">
      <c r="D150" s="37"/>
      <c r="F150" s="36">
        <f>IF(E66=$BQ$2,1,(IF(E66="",1,(IF(F67="",0,1)))))</f>
        <v>1</v>
      </c>
      <c r="I150" s="36">
        <f>IF(H66=$BQ$2,1,(IF(H66="",1,(IF(I67="",0,1)))))</f>
        <v>1</v>
      </c>
      <c r="L150" s="36">
        <f>IF(K66=$BQ$2,1,(IF(K66="",1,(IF(L67="",0,1)))))</f>
        <v>1</v>
      </c>
      <c r="O150" s="36">
        <f>IF(N66=$BQ$2,1,(IF(N66="",1,(IF(O67="",0,1)))))</f>
        <v>1</v>
      </c>
      <c r="R150" s="36">
        <f>IF(Q66=$BQ$2,1,(IF(Q66="",1,(IF(R67="",0,1)))))</f>
        <v>1</v>
      </c>
      <c r="U150" s="36">
        <f>IF(T66=$BQ$2,1,(IF(T66="",1,(IF(U67="",0,1)))))</f>
        <v>1</v>
      </c>
      <c r="X150" s="36">
        <f>IF(W66=$BQ$2,1,(IF(W66="",1,(IF(X67="",0,1)))))</f>
        <v>1</v>
      </c>
      <c r="AF150" s="36">
        <f t="shared" si="466"/>
        <v>29</v>
      </c>
      <c r="AG150" s="36"/>
      <c r="AH150" s="36">
        <f t="shared" si="467"/>
        <v>999</v>
      </c>
      <c r="AI150" s="36">
        <f t="shared" si="468"/>
        <v>999</v>
      </c>
      <c r="AM150" s="36">
        <f t="shared" si="469"/>
        <v>999</v>
      </c>
      <c r="AN150" s="36">
        <f t="shared" si="470"/>
        <v>999</v>
      </c>
      <c r="AR150" s="36">
        <f t="shared" si="471"/>
        <v>999</v>
      </c>
      <c r="AS150" s="36">
        <f t="shared" si="472"/>
        <v>999</v>
      </c>
      <c r="AW150" s="36">
        <f t="shared" si="473"/>
        <v>999</v>
      </c>
      <c r="AX150" s="36">
        <f t="shared" si="474"/>
        <v>999</v>
      </c>
      <c r="BB150" s="36">
        <f t="shared" si="475"/>
        <v>999</v>
      </c>
      <c r="BC150" s="36">
        <f t="shared" si="476"/>
        <v>999</v>
      </c>
      <c r="DX150" s="85"/>
      <c r="DY150" s="85"/>
      <c r="DZ150" s="85"/>
      <c r="EJ150" s="85"/>
      <c r="FU150" s="138">
        <f>FU148+1</f>
        <v>17</v>
      </c>
      <c r="FW150" s="149">
        <f>FQ134</f>
        <v>5</v>
      </c>
    </row>
    <row r="151" spans="4:179" hidden="1" x14ac:dyDescent="0.25">
      <c r="D151" s="37">
        <v>31</v>
      </c>
      <c r="F151" s="36">
        <f>IF(E68=$BQ$2,1,(IF(E68="",1,(IF(F68="",0,1)))))</f>
        <v>1</v>
      </c>
      <c r="I151" s="36">
        <f>IF(H68=$BQ$2,1,(IF(H68="",1,(IF(I68="",0,1)))))</f>
        <v>1</v>
      </c>
      <c r="L151" s="36">
        <f>IF(K68=$BQ$2,1,(IF(K68="",1,(IF(L68="",0,1)))))</f>
        <v>1</v>
      </c>
      <c r="O151" s="36">
        <f>IF(N68=$BQ$2,1,(IF(N68="",1,(IF(O68="",0,1)))))</f>
        <v>1</v>
      </c>
      <c r="R151" s="36">
        <f>IF(Q68=$BQ$2,1,(IF(Q68="",1,(IF(R68="",0,1)))))</f>
        <v>1</v>
      </c>
      <c r="U151" s="36">
        <f>IF(T68=$BQ$2,1,(IF(T68="",1,(IF(U68="",0,1)))))</f>
        <v>1</v>
      </c>
      <c r="X151" s="36">
        <f>IF(W68=$BQ$2,1,(IF(W68="",1,(IF(X68="",0,1)))))</f>
        <v>1</v>
      </c>
      <c r="AF151" s="36">
        <f t="shared" si="466"/>
        <v>30</v>
      </c>
      <c r="AG151" s="36"/>
      <c r="AH151" s="36">
        <f t="shared" si="467"/>
        <v>999</v>
      </c>
      <c r="AI151" s="36">
        <f t="shared" si="468"/>
        <v>999</v>
      </c>
      <c r="AM151" s="36">
        <f t="shared" si="469"/>
        <v>999</v>
      </c>
      <c r="AN151" s="36">
        <f t="shared" si="470"/>
        <v>999</v>
      </c>
      <c r="AR151" s="36">
        <f t="shared" si="471"/>
        <v>999</v>
      </c>
      <c r="AS151" s="36">
        <f t="shared" si="472"/>
        <v>999</v>
      </c>
      <c r="AW151" s="36">
        <f t="shared" si="473"/>
        <v>999</v>
      </c>
      <c r="AX151" s="36">
        <f t="shared" si="474"/>
        <v>999</v>
      </c>
      <c r="BB151" s="36">
        <f t="shared" si="475"/>
        <v>999</v>
      </c>
      <c r="BC151" s="36">
        <f t="shared" si="476"/>
        <v>999</v>
      </c>
      <c r="FU151" s="138"/>
      <c r="FW151" s="149"/>
    </row>
    <row r="152" spans="4:179" hidden="1" x14ac:dyDescent="0.25">
      <c r="D152" s="37"/>
      <c r="F152" s="36">
        <f>IF(E68=$BQ$2,1,(IF(E68="",1,(IF(F69="",0,1)))))</f>
        <v>1</v>
      </c>
      <c r="I152" s="36">
        <f>IF(H68=$BQ$2,1,(IF(H68="",1,(IF(I69="",0,1)))))</f>
        <v>1</v>
      </c>
      <c r="L152" s="36">
        <f>IF(K68=$BQ$2,1,(IF(K68="",1,(IF(L69="",0,1)))))</f>
        <v>1</v>
      </c>
      <c r="O152" s="36">
        <f>IF(N68=$BQ$2,1,(IF(N68="",1,(IF(O69="",0,1)))))</f>
        <v>1</v>
      </c>
      <c r="R152" s="36">
        <f>IF(Q68=$BQ$2,1,(IF(Q68="",1,(IF(R69="",0,1)))))</f>
        <v>1</v>
      </c>
      <c r="U152" s="36">
        <f>IF(T68=$BQ$2,1,(IF(T68="",1,(IF(U69="",0,1)))))</f>
        <v>1</v>
      </c>
      <c r="X152" s="36">
        <f>IF(W68=$BQ$2,1,(IF(W68="",1,(IF(X69="",0,1)))))</f>
        <v>1</v>
      </c>
      <c r="AF152" s="36">
        <f t="shared" si="466"/>
        <v>31</v>
      </c>
      <c r="AG152" s="36"/>
      <c r="AH152" s="36">
        <f t="shared" si="467"/>
        <v>999</v>
      </c>
      <c r="AI152" s="36">
        <f t="shared" si="468"/>
        <v>999</v>
      </c>
      <c r="AM152" s="36">
        <f t="shared" si="469"/>
        <v>999</v>
      </c>
      <c r="AN152" s="36">
        <f t="shared" si="470"/>
        <v>999</v>
      </c>
      <c r="AR152" s="36">
        <f t="shared" si="471"/>
        <v>999</v>
      </c>
      <c r="AS152" s="36">
        <f t="shared" si="472"/>
        <v>999</v>
      </c>
      <c r="AW152" s="36">
        <f t="shared" si="473"/>
        <v>999</v>
      </c>
      <c r="AX152" s="36">
        <f t="shared" si="474"/>
        <v>999</v>
      </c>
      <c r="BB152" s="36">
        <f t="shared" si="475"/>
        <v>999</v>
      </c>
      <c r="BC152" s="36">
        <f t="shared" si="476"/>
        <v>999</v>
      </c>
      <c r="FU152" s="138">
        <f>FU150+1</f>
        <v>18</v>
      </c>
      <c r="FW152" s="149">
        <f>FQ135</f>
        <v>4</v>
      </c>
    </row>
    <row r="153" spans="4:179" hidden="1" x14ac:dyDescent="0.25">
      <c r="D153" s="37">
        <v>32</v>
      </c>
      <c r="F153" s="36">
        <f>IF(E70=$BQ$2,1,(IF(E70="",1,(IF(F70="",0,1)))))</f>
        <v>1</v>
      </c>
      <c r="I153" s="36">
        <f>IF(H70=$BQ$2,1,(IF(H70="",1,(IF(I70="",0,1)))))</f>
        <v>1</v>
      </c>
      <c r="L153" s="36">
        <f>IF(K70=$BQ$2,1,(IF(K70="",1,(IF(L70="",0,1)))))</f>
        <v>1</v>
      </c>
      <c r="O153" s="36">
        <f>IF(N70=$BQ$2,1,(IF(N70="",1,(IF(O70="",0,1)))))</f>
        <v>1</v>
      </c>
      <c r="R153" s="36">
        <f>IF(Q70=$BQ$2,1,(IF(Q70="",1,(IF(R70="",0,1)))))</f>
        <v>1</v>
      </c>
      <c r="U153" s="36">
        <f>IF(T70=$BQ$2,1,(IF(T70="",1,(IF(U70="",0,1)))))</f>
        <v>1</v>
      </c>
      <c r="X153" s="36">
        <f>IF(W70=$BQ$2,1,(IF(W70="",1,(IF(X70="",0,1)))))</f>
        <v>1</v>
      </c>
      <c r="AF153" s="36">
        <f t="shared" si="466"/>
        <v>32</v>
      </c>
      <c r="AG153" s="36"/>
      <c r="AH153" s="36">
        <f t="shared" si="467"/>
        <v>999</v>
      </c>
      <c r="AI153" s="36">
        <f t="shared" si="468"/>
        <v>999</v>
      </c>
      <c r="AM153" s="36">
        <f t="shared" si="469"/>
        <v>999</v>
      </c>
      <c r="AN153" s="36">
        <f t="shared" si="470"/>
        <v>999</v>
      </c>
      <c r="AR153" s="36">
        <f t="shared" si="471"/>
        <v>999</v>
      </c>
      <c r="AS153" s="36">
        <f t="shared" si="472"/>
        <v>999</v>
      </c>
      <c r="AW153" s="36">
        <f t="shared" si="473"/>
        <v>999</v>
      </c>
      <c r="AX153" s="36">
        <f t="shared" si="474"/>
        <v>999</v>
      </c>
      <c r="BB153" s="36">
        <f t="shared" si="475"/>
        <v>999</v>
      </c>
      <c r="BC153" s="36">
        <f t="shared" si="476"/>
        <v>999</v>
      </c>
      <c r="FU153" s="138"/>
      <c r="FW153" s="149"/>
    </row>
    <row r="154" spans="4:179" hidden="1" x14ac:dyDescent="0.25">
      <c r="D154" s="37"/>
      <c r="F154" s="36">
        <f>IF(E70=$BQ$2,1,(IF(E70="",1,(IF(F71="",0,1)))))</f>
        <v>1</v>
      </c>
      <c r="I154" s="36">
        <f>IF(H70=$BQ$2,1,(IF(H70="",1,(IF(I71="",0,1)))))</f>
        <v>1</v>
      </c>
      <c r="L154" s="36">
        <f>IF(K70=$BQ$2,1,(IF(K70="",1,(IF(L71="",0,1)))))</f>
        <v>1</v>
      </c>
      <c r="O154" s="36">
        <f>IF(N70=$BQ$2,1,(IF(N70="",1,(IF(O71="",0,1)))))</f>
        <v>1</v>
      </c>
      <c r="R154" s="36">
        <f>IF(Q70=$BQ$2,1,(IF(Q70="",1,(IF(R71="",0,1)))))</f>
        <v>1</v>
      </c>
      <c r="U154" s="36">
        <f>IF(T70=$BQ$2,1,(IF(T70="",1,(IF(U71="",0,1)))))</f>
        <v>1</v>
      </c>
      <c r="X154" s="36">
        <f>IF(W70=$BQ$2,1,(IF(W70="",1,(IF(X71="",0,1)))))</f>
        <v>1</v>
      </c>
      <c r="AF154" s="36"/>
      <c r="AG154" s="36"/>
      <c r="FU154" s="138">
        <f>FU152+1</f>
        <v>19</v>
      </c>
      <c r="FW154" s="149">
        <f>FQ136</f>
        <v>1</v>
      </c>
    </row>
    <row r="155" spans="4:179" hidden="1" x14ac:dyDescent="0.25">
      <c r="AF155" s="36"/>
      <c r="AG155" s="36"/>
      <c r="FU155" s="138"/>
      <c r="FW155" s="149"/>
    </row>
    <row r="156" spans="4:179" hidden="1" x14ac:dyDescent="0.25">
      <c r="AF156" s="36"/>
      <c r="AG156" s="36"/>
      <c r="FU156" s="138">
        <f>FU154+1</f>
        <v>20</v>
      </c>
      <c r="FW156" s="149" t="str">
        <f>FQ137</f>
        <v/>
      </c>
    </row>
    <row r="157" spans="4:179" hidden="1" x14ac:dyDescent="0.25">
      <c r="AF157" s="36">
        <f>AF122</f>
        <v>1</v>
      </c>
      <c r="AG157" s="36"/>
      <c r="AH157" s="36">
        <f>IF(AI122=$BK$2,0,(INDEX(AH$89:AH$120,AI122)))</f>
        <v>2</v>
      </c>
      <c r="AI157" s="36">
        <f>IF(AI122=$BK$2,0,(INDEX(AJ$89:AJ$120,AI122)))</f>
        <v>3</v>
      </c>
      <c r="AM157" s="36">
        <f>IF(AN122=$BK$2,0,(INDEX(AM$89:AM$120,AN122)))</f>
        <v>0</v>
      </c>
      <c r="AN157" s="36">
        <f>IF(AN122=$BK$2,0,(INDEX(AO$89:AO$120,AN122)))</f>
        <v>0</v>
      </c>
      <c r="AR157" s="36">
        <f>IF(AS122=$BK$2,0,(INDEX(AR$89:AR$120,AS122)))</f>
        <v>0</v>
      </c>
      <c r="AS157" s="36">
        <f>IF(AS122=$BK$2,0,(INDEX(AT$89:AT$120,AS122)))</f>
        <v>0</v>
      </c>
      <c r="AW157" s="36">
        <f>IF(AX122=$BK$2,0,(INDEX(AW$89:AW$120,AX122)))</f>
        <v>0</v>
      </c>
      <c r="AX157" s="36">
        <f>IF(AX122=$BK$2,0,(INDEX(AY$89:AY$120,AX122)))</f>
        <v>0</v>
      </c>
      <c r="BB157" s="36">
        <f>IF(BC122=$BK$2,0,(INDEX(BB$89:BB$120,BC122)))</f>
        <v>0</v>
      </c>
      <c r="BC157" s="36">
        <f>IF(BC122=$BK$2,0,(INDEX(BD$89:BD$120,BC122)))</f>
        <v>0</v>
      </c>
      <c r="FU157" s="138"/>
      <c r="FW157" s="149"/>
    </row>
    <row r="158" spans="4:179" hidden="1" x14ac:dyDescent="0.25">
      <c r="AF158" s="36">
        <f t="shared" ref="AF158:AF172" si="480">AF123</f>
        <v>2</v>
      </c>
      <c r="AG158" s="36"/>
      <c r="AH158" s="36">
        <f t="shared" ref="AH158:AH172" si="481">IF(AI123=$BK$2,0,(INDEX(AH$89:AH$120,AI123)))</f>
        <v>5</v>
      </c>
      <c r="AI158" s="36">
        <f t="shared" ref="AI158:AI172" si="482">IF(AI123=$BK$2,0,(INDEX(AJ$89:AJ$120,AI123)))</f>
        <v>6</v>
      </c>
      <c r="AM158" s="36">
        <f t="shared" ref="AM158:AM172" si="483">IF(AN123=$BK$2,0,(INDEX(AM$89:AM$120,AN123)))</f>
        <v>0</v>
      </c>
      <c r="AN158" s="36">
        <f t="shared" ref="AN158:AN172" si="484">IF(AN123=$BK$2,0,(INDEX(AO$89:AO$120,AN123)))</f>
        <v>0</v>
      </c>
      <c r="AR158" s="36">
        <f t="shared" ref="AR158:AR172" si="485">IF(AS123=$BK$2,0,(INDEX(AR$89:AR$120,AS123)))</f>
        <v>0</v>
      </c>
      <c r="AS158" s="36">
        <f t="shared" ref="AS158:AS172" si="486">IF(AS123=$BK$2,0,(INDEX(AT$89:AT$120,AS123)))</f>
        <v>0</v>
      </c>
      <c r="AW158" s="36">
        <f t="shared" ref="AW158:AW172" si="487">IF(AX123=$BK$2,0,(INDEX(AW$89:AW$120,AX123)))</f>
        <v>0</v>
      </c>
      <c r="AX158" s="36">
        <f t="shared" ref="AX158:AX172" si="488">IF(AX123=$BK$2,0,(INDEX(AY$89:AY$120,AX123)))</f>
        <v>0</v>
      </c>
      <c r="BB158" s="36">
        <f t="shared" ref="BB158:BB172" si="489">IF(BC123=$BK$2,0,(INDEX(BB$89:BB$120,BC123)))</f>
        <v>0</v>
      </c>
      <c r="BC158" s="36">
        <f t="shared" ref="BC158:BC172" si="490">IF(BC123=$BK$2,0,(INDEX(BD$89:BD$120,BC123)))</f>
        <v>0</v>
      </c>
      <c r="FU158" s="138">
        <f>FU156+1</f>
        <v>21</v>
      </c>
      <c r="FW158" s="149" t="str">
        <f>FQ138</f>
        <v/>
      </c>
    </row>
    <row r="159" spans="4:179" hidden="1" x14ac:dyDescent="0.25">
      <c r="AF159" s="36">
        <f t="shared" si="480"/>
        <v>3</v>
      </c>
      <c r="AG159" s="36"/>
      <c r="AH159" s="36">
        <f t="shared" si="481"/>
        <v>0</v>
      </c>
      <c r="AI159" s="36">
        <f t="shared" si="482"/>
        <v>0</v>
      </c>
      <c r="AM159" s="36">
        <f t="shared" si="483"/>
        <v>0</v>
      </c>
      <c r="AN159" s="36">
        <f t="shared" si="484"/>
        <v>0</v>
      </c>
      <c r="AR159" s="36">
        <f t="shared" si="485"/>
        <v>0</v>
      </c>
      <c r="AS159" s="36">
        <f t="shared" si="486"/>
        <v>0</v>
      </c>
      <c r="AW159" s="36">
        <f t="shared" si="487"/>
        <v>0</v>
      </c>
      <c r="AX159" s="36">
        <f t="shared" si="488"/>
        <v>0</v>
      </c>
      <c r="BB159" s="36">
        <f t="shared" si="489"/>
        <v>0</v>
      </c>
      <c r="BC159" s="36">
        <f t="shared" si="490"/>
        <v>0</v>
      </c>
      <c r="FU159" s="138"/>
      <c r="FW159" s="149"/>
    </row>
    <row r="160" spans="4:179" hidden="1" x14ac:dyDescent="0.25">
      <c r="AF160" s="36">
        <f t="shared" si="480"/>
        <v>4</v>
      </c>
      <c r="AG160" s="36"/>
      <c r="AH160" s="36">
        <f t="shared" si="481"/>
        <v>0</v>
      </c>
      <c r="AI160" s="36">
        <f t="shared" si="482"/>
        <v>0</v>
      </c>
      <c r="AM160" s="36">
        <f t="shared" si="483"/>
        <v>0</v>
      </c>
      <c r="AN160" s="36">
        <f t="shared" si="484"/>
        <v>0</v>
      </c>
      <c r="AR160" s="36">
        <f t="shared" si="485"/>
        <v>0</v>
      </c>
      <c r="AS160" s="36">
        <f t="shared" si="486"/>
        <v>0</v>
      </c>
      <c r="AW160" s="36">
        <f t="shared" si="487"/>
        <v>0</v>
      </c>
      <c r="AX160" s="36">
        <f t="shared" si="488"/>
        <v>0</v>
      </c>
      <c r="BB160" s="36">
        <f t="shared" si="489"/>
        <v>0</v>
      </c>
      <c r="BC160" s="36">
        <f t="shared" si="490"/>
        <v>0</v>
      </c>
      <c r="FU160" s="138">
        <f>FU158+1</f>
        <v>22</v>
      </c>
      <c r="FW160" s="149" t="str">
        <f>FQ139</f>
        <v/>
      </c>
    </row>
    <row r="161" spans="32:179" hidden="1" x14ac:dyDescent="0.25">
      <c r="AF161" s="36">
        <f t="shared" si="480"/>
        <v>5</v>
      </c>
      <c r="AG161" s="36"/>
      <c r="AH161" s="36">
        <f t="shared" si="481"/>
        <v>0</v>
      </c>
      <c r="AI161" s="36">
        <f t="shared" si="482"/>
        <v>0</v>
      </c>
      <c r="AM161" s="36">
        <f t="shared" si="483"/>
        <v>0</v>
      </c>
      <c r="AN161" s="36">
        <f t="shared" si="484"/>
        <v>0</v>
      </c>
      <c r="AR161" s="36">
        <f t="shared" si="485"/>
        <v>0</v>
      </c>
      <c r="AS161" s="36">
        <f t="shared" si="486"/>
        <v>0</v>
      </c>
      <c r="AW161" s="36">
        <f t="shared" si="487"/>
        <v>0</v>
      </c>
      <c r="AX161" s="36">
        <f t="shared" si="488"/>
        <v>0</v>
      </c>
      <c r="BB161" s="36">
        <f t="shared" si="489"/>
        <v>0</v>
      </c>
      <c r="BC161" s="36">
        <f t="shared" si="490"/>
        <v>0</v>
      </c>
      <c r="FU161" s="138"/>
      <c r="FW161" s="149"/>
    </row>
    <row r="162" spans="32:179" hidden="1" x14ac:dyDescent="0.25">
      <c r="AF162" s="36">
        <f t="shared" si="480"/>
        <v>6</v>
      </c>
      <c r="AG162" s="36"/>
      <c r="AH162" s="36">
        <f t="shared" si="481"/>
        <v>0</v>
      </c>
      <c r="AI162" s="36">
        <f t="shared" si="482"/>
        <v>0</v>
      </c>
      <c r="AM162" s="36">
        <f t="shared" si="483"/>
        <v>0</v>
      </c>
      <c r="AN162" s="36">
        <f t="shared" si="484"/>
        <v>0</v>
      </c>
      <c r="AR162" s="36">
        <f t="shared" si="485"/>
        <v>0</v>
      </c>
      <c r="AS162" s="36">
        <f t="shared" si="486"/>
        <v>0</v>
      </c>
      <c r="AW162" s="36">
        <f t="shared" si="487"/>
        <v>0</v>
      </c>
      <c r="AX162" s="36">
        <f t="shared" si="488"/>
        <v>0</v>
      </c>
      <c r="BB162" s="36">
        <f t="shared" si="489"/>
        <v>0</v>
      </c>
      <c r="BC162" s="36">
        <f t="shared" si="490"/>
        <v>0</v>
      </c>
      <c r="FU162" s="138">
        <f>FU160+1</f>
        <v>23</v>
      </c>
      <c r="FW162" s="149" t="str">
        <f>FQ140</f>
        <v/>
      </c>
    </row>
    <row r="163" spans="32:179" hidden="1" x14ac:dyDescent="0.25">
      <c r="AF163" s="36">
        <f t="shared" si="480"/>
        <v>7</v>
      </c>
      <c r="AG163" s="36"/>
      <c r="AH163" s="36">
        <f t="shared" si="481"/>
        <v>0</v>
      </c>
      <c r="AI163" s="36">
        <f t="shared" si="482"/>
        <v>0</v>
      </c>
      <c r="AM163" s="36">
        <f t="shared" si="483"/>
        <v>0</v>
      </c>
      <c r="AN163" s="36">
        <f t="shared" si="484"/>
        <v>0</v>
      </c>
      <c r="AR163" s="36">
        <f t="shared" si="485"/>
        <v>0</v>
      </c>
      <c r="AS163" s="36">
        <f t="shared" si="486"/>
        <v>0</v>
      </c>
      <c r="AW163" s="36">
        <f t="shared" si="487"/>
        <v>0</v>
      </c>
      <c r="AX163" s="36">
        <f t="shared" si="488"/>
        <v>0</v>
      </c>
      <c r="BB163" s="36">
        <f t="shared" si="489"/>
        <v>0</v>
      </c>
      <c r="BC163" s="36">
        <f t="shared" si="490"/>
        <v>0</v>
      </c>
      <c r="FU163" s="138"/>
      <c r="FW163" s="149"/>
    </row>
    <row r="164" spans="32:179" hidden="1" x14ac:dyDescent="0.25">
      <c r="AF164" s="36">
        <f t="shared" si="480"/>
        <v>8</v>
      </c>
      <c r="AG164" s="36"/>
      <c r="AH164" s="36">
        <f t="shared" si="481"/>
        <v>0</v>
      </c>
      <c r="AI164" s="36">
        <f t="shared" si="482"/>
        <v>0</v>
      </c>
      <c r="AM164" s="36">
        <f t="shared" si="483"/>
        <v>0</v>
      </c>
      <c r="AN164" s="36">
        <f t="shared" si="484"/>
        <v>0</v>
      </c>
      <c r="AR164" s="36">
        <f t="shared" si="485"/>
        <v>0</v>
      </c>
      <c r="AS164" s="36">
        <f t="shared" si="486"/>
        <v>0</v>
      </c>
      <c r="AW164" s="36">
        <f t="shared" si="487"/>
        <v>0</v>
      </c>
      <c r="AX164" s="36">
        <f t="shared" si="488"/>
        <v>0</v>
      </c>
      <c r="BB164" s="36">
        <f t="shared" si="489"/>
        <v>0</v>
      </c>
      <c r="BC164" s="36">
        <f t="shared" si="490"/>
        <v>0</v>
      </c>
      <c r="FU164" s="138">
        <f>FU162+1</f>
        <v>24</v>
      </c>
      <c r="FW164" s="149" t="str">
        <f>FQ141</f>
        <v/>
      </c>
    </row>
    <row r="165" spans="32:179" hidden="1" x14ac:dyDescent="0.25">
      <c r="AF165" s="36">
        <f t="shared" si="480"/>
        <v>9</v>
      </c>
      <c r="AG165" s="36"/>
      <c r="AH165" s="36">
        <f t="shared" si="481"/>
        <v>0</v>
      </c>
      <c r="AI165" s="36">
        <f t="shared" si="482"/>
        <v>0</v>
      </c>
      <c r="AM165" s="36">
        <f t="shared" si="483"/>
        <v>0</v>
      </c>
      <c r="AN165" s="36">
        <f t="shared" si="484"/>
        <v>0</v>
      </c>
      <c r="AR165" s="36">
        <f t="shared" si="485"/>
        <v>0</v>
      </c>
      <c r="AS165" s="36">
        <f t="shared" si="486"/>
        <v>0</v>
      </c>
      <c r="AW165" s="36">
        <f t="shared" si="487"/>
        <v>0</v>
      </c>
      <c r="AX165" s="36">
        <f t="shared" si="488"/>
        <v>0</v>
      </c>
      <c r="BB165" s="36">
        <f t="shared" si="489"/>
        <v>0</v>
      </c>
      <c r="BC165" s="36">
        <f t="shared" si="490"/>
        <v>0</v>
      </c>
      <c r="FU165" s="138"/>
      <c r="FW165" s="149"/>
    </row>
    <row r="166" spans="32:179" hidden="1" x14ac:dyDescent="0.25">
      <c r="AF166" s="36">
        <f t="shared" si="480"/>
        <v>10</v>
      </c>
      <c r="AG166" s="36"/>
      <c r="AH166" s="36">
        <f t="shared" si="481"/>
        <v>0</v>
      </c>
      <c r="AI166" s="36">
        <f t="shared" si="482"/>
        <v>0</v>
      </c>
      <c r="AM166" s="36">
        <f t="shared" si="483"/>
        <v>0</v>
      </c>
      <c r="AN166" s="36">
        <f t="shared" si="484"/>
        <v>0</v>
      </c>
      <c r="AR166" s="36">
        <f t="shared" si="485"/>
        <v>0</v>
      </c>
      <c r="AS166" s="36">
        <f t="shared" si="486"/>
        <v>0</v>
      </c>
      <c r="AW166" s="36">
        <f t="shared" si="487"/>
        <v>0</v>
      </c>
      <c r="AX166" s="36">
        <f t="shared" si="488"/>
        <v>0</v>
      </c>
      <c r="BB166" s="36">
        <f t="shared" si="489"/>
        <v>0</v>
      </c>
      <c r="BC166" s="36">
        <f t="shared" si="490"/>
        <v>0</v>
      </c>
      <c r="FU166" s="138">
        <f>FU164+1</f>
        <v>25</v>
      </c>
      <c r="FW166" s="149" t="str">
        <f>FQ142</f>
        <v/>
      </c>
    </row>
    <row r="167" spans="32:179" hidden="1" x14ac:dyDescent="0.25">
      <c r="AF167" s="36">
        <f t="shared" si="480"/>
        <v>11</v>
      </c>
      <c r="AG167" s="36"/>
      <c r="AH167" s="36">
        <f t="shared" si="481"/>
        <v>0</v>
      </c>
      <c r="AI167" s="36">
        <f t="shared" si="482"/>
        <v>0</v>
      </c>
      <c r="AM167" s="36">
        <f t="shared" si="483"/>
        <v>0</v>
      </c>
      <c r="AN167" s="36">
        <f t="shared" si="484"/>
        <v>0</v>
      </c>
      <c r="AR167" s="36">
        <f t="shared" si="485"/>
        <v>0</v>
      </c>
      <c r="AS167" s="36">
        <f t="shared" si="486"/>
        <v>0</v>
      </c>
      <c r="AW167" s="36">
        <f t="shared" si="487"/>
        <v>0</v>
      </c>
      <c r="AX167" s="36">
        <f t="shared" si="488"/>
        <v>0</v>
      </c>
      <c r="BB167" s="36">
        <f t="shared" si="489"/>
        <v>0</v>
      </c>
      <c r="BC167" s="36">
        <f t="shared" si="490"/>
        <v>0</v>
      </c>
      <c r="FU167" s="138"/>
      <c r="FW167" s="149"/>
    </row>
    <row r="168" spans="32:179" hidden="1" x14ac:dyDescent="0.25">
      <c r="AF168" s="36">
        <f t="shared" si="480"/>
        <v>12</v>
      </c>
      <c r="AG168" s="36"/>
      <c r="AH168" s="36">
        <f t="shared" si="481"/>
        <v>0</v>
      </c>
      <c r="AI168" s="36">
        <f t="shared" si="482"/>
        <v>0</v>
      </c>
      <c r="AM168" s="36">
        <f t="shared" si="483"/>
        <v>0</v>
      </c>
      <c r="AN168" s="36">
        <f t="shared" si="484"/>
        <v>0</v>
      </c>
      <c r="AR168" s="36">
        <f t="shared" si="485"/>
        <v>0</v>
      </c>
      <c r="AS168" s="36">
        <f t="shared" si="486"/>
        <v>0</v>
      </c>
      <c r="AW168" s="36">
        <f t="shared" si="487"/>
        <v>0</v>
      </c>
      <c r="AX168" s="36">
        <f t="shared" si="488"/>
        <v>0</v>
      </c>
      <c r="BB168" s="36">
        <f t="shared" si="489"/>
        <v>0</v>
      </c>
      <c r="BC168" s="36">
        <f t="shared" si="490"/>
        <v>0</v>
      </c>
      <c r="FU168" s="138">
        <f>FU166+1</f>
        <v>26</v>
      </c>
      <c r="FW168" s="149" t="str">
        <f>FQ143</f>
        <v/>
      </c>
    </row>
    <row r="169" spans="32:179" hidden="1" x14ac:dyDescent="0.25">
      <c r="AF169" s="36">
        <f t="shared" si="480"/>
        <v>13</v>
      </c>
      <c r="AG169" s="36"/>
      <c r="AH169" s="36">
        <f t="shared" si="481"/>
        <v>0</v>
      </c>
      <c r="AI169" s="36">
        <f t="shared" si="482"/>
        <v>0</v>
      </c>
      <c r="AM169" s="36">
        <f t="shared" si="483"/>
        <v>0</v>
      </c>
      <c r="AN169" s="36">
        <f t="shared" si="484"/>
        <v>0</v>
      </c>
      <c r="AR169" s="36">
        <f t="shared" si="485"/>
        <v>0</v>
      </c>
      <c r="AS169" s="36">
        <f t="shared" si="486"/>
        <v>0</v>
      </c>
      <c r="AW169" s="36">
        <f t="shared" si="487"/>
        <v>0</v>
      </c>
      <c r="AX169" s="36">
        <f t="shared" si="488"/>
        <v>0</v>
      </c>
      <c r="BB169" s="36">
        <f t="shared" si="489"/>
        <v>0</v>
      </c>
      <c r="BC169" s="36">
        <f t="shared" si="490"/>
        <v>0</v>
      </c>
      <c r="FU169" s="138"/>
      <c r="FW169" s="149"/>
    </row>
    <row r="170" spans="32:179" hidden="1" x14ac:dyDescent="0.25">
      <c r="AF170" s="36">
        <f t="shared" si="480"/>
        <v>14</v>
      </c>
      <c r="AG170" s="36"/>
      <c r="AH170" s="36">
        <f t="shared" si="481"/>
        <v>0</v>
      </c>
      <c r="AI170" s="36">
        <f t="shared" si="482"/>
        <v>0</v>
      </c>
      <c r="AM170" s="36">
        <f t="shared" si="483"/>
        <v>0</v>
      </c>
      <c r="AN170" s="36">
        <f t="shared" si="484"/>
        <v>0</v>
      </c>
      <c r="AR170" s="36">
        <f t="shared" si="485"/>
        <v>0</v>
      </c>
      <c r="AS170" s="36">
        <f t="shared" si="486"/>
        <v>0</v>
      </c>
      <c r="AW170" s="36">
        <f t="shared" si="487"/>
        <v>0</v>
      </c>
      <c r="AX170" s="36">
        <f t="shared" si="488"/>
        <v>0</v>
      </c>
      <c r="BB170" s="36">
        <f t="shared" si="489"/>
        <v>0</v>
      </c>
      <c r="BC170" s="36">
        <f t="shared" si="490"/>
        <v>0</v>
      </c>
      <c r="FU170" s="138">
        <f>FU168+1</f>
        <v>27</v>
      </c>
      <c r="FW170" s="149" t="str">
        <f>FQ144</f>
        <v/>
      </c>
    </row>
    <row r="171" spans="32:179" hidden="1" x14ac:dyDescent="0.25">
      <c r="AF171" s="36">
        <f t="shared" si="480"/>
        <v>15</v>
      </c>
      <c r="AG171" s="36"/>
      <c r="AH171" s="36">
        <f t="shared" si="481"/>
        <v>0</v>
      </c>
      <c r="AI171" s="36">
        <f t="shared" si="482"/>
        <v>0</v>
      </c>
      <c r="AM171" s="36">
        <f t="shared" si="483"/>
        <v>0</v>
      </c>
      <c r="AN171" s="36">
        <f t="shared" si="484"/>
        <v>0</v>
      </c>
      <c r="AR171" s="36">
        <f t="shared" si="485"/>
        <v>0</v>
      </c>
      <c r="AS171" s="36">
        <f t="shared" si="486"/>
        <v>0</v>
      </c>
      <c r="AW171" s="36">
        <f t="shared" si="487"/>
        <v>0</v>
      </c>
      <c r="AX171" s="36">
        <f t="shared" si="488"/>
        <v>0</v>
      </c>
      <c r="BB171" s="36">
        <f t="shared" si="489"/>
        <v>0</v>
      </c>
      <c r="BC171" s="36">
        <f t="shared" si="490"/>
        <v>0</v>
      </c>
      <c r="FU171" s="138"/>
      <c r="FW171" s="149"/>
    </row>
    <row r="172" spans="32:179" hidden="1" x14ac:dyDescent="0.25">
      <c r="AF172" s="36">
        <f t="shared" si="480"/>
        <v>16</v>
      </c>
      <c r="AG172" s="36"/>
      <c r="AH172" s="36">
        <f t="shared" si="481"/>
        <v>0</v>
      </c>
      <c r="AI172" s="36">
        <f t="shared" si="482"/>
        <v>0</v>
      </c>
      <c r="AM172" s="36">
        <f t="shared" si="483"/>
        <v>0</v>
      </c>
      <c r="AN172" s="36">
        <f t="shared" si="484"/>
        <v>0</v>
      </c>
      <c r="AR172" s="36">
        <f t="shared" si="485"/>
        <v>0</v>
      </c>
      <c r="AS172" s="36">
        <f t="shared" si="486"/>
        <v>0</v>
      </c>
      <c r="AW172" s="36">
        <f t="shared" si="487"/>
        <v>0</v>
      </c>
      <c r="AX172" s="36">
        <f t="shared" si="488"/>
        <v>0</v>
      </c>
      <c r="BB172" s="36">
        <f t="shared" si="489"/>
        <v>0</v>
      </c>
      <c r="BC172" s="36">
        <f t="shared" si="490"/>
        <v>0</v>
      </c>
      <c r="FU172" s="138">
        <f>FU170+1</f>
        <v>28</v>
      </c>
      <c r="FW172" s="149" t="str">
        <f>FQ145</f>
        <v/>
      </c>
    </row>
    <row r="173" spans="32:179" hidden="1" x14ac:dyDescent="0.25">
      <c r="AF173" s="36"/>
      <c r="AG173" s="36"/>
      <c r="FU173" s="138"/>
      <c r="FW173" s="149"/>
    </row>
    <row r="174" spans="32:179" hidden="1" x14ac:dyDescent="0.25">
      <c r="AF174" s="36"/>
      <c r="AG174" s="36"/>
      <c r="FU174" s="138">
        <f>FU172+1</f>
        <v>29</v>
      </c>
      <c r="FW174" s="149" t="str">
        <f>FQ146</f>
        <v/>
      </c>
    </row>
    <row r="175" spans="32:179" hidden="1" x14ac:dyDescent="0.25">
      <c r="AF175" s="36"/>
      <c r="AG175" s="36"/>
      <c r="FU175" s="138"/>
      <c r="FW175" s="149"/>
    </row>
    <row r="176" spans="32:179" hidden="1" x14ac:dyDescent="0.25">
      <c r="AF176" s="36"/>
      <c r="AG176" s="36"/>
      <c r="FU176" s="138">
        <f>FU174+1</f>
        <v>30</v>
      </c>
      <c r="FW176" s="149" t="str">
        <f>FQ147</f>
        <v/>
      </c>
    </row>
    <row r="177" spans="32:179" hidden="1" x14ac:dyDescent="0.25">
      <c r="AF177" s="36"/>
      <c r="AG177" s="36"/>
      <c r="FU177" s="138"/>
      <c r="FW177" s="149"/>
    </row>
    <row r="178" spans="32:179" hidden="1" x14ac:dyDescent="0.25">
      <c r="FU178" s="138">
        <f>FU176+1</f>
        <v>31</v>
      </c>
      <c r="FW178" s="149" t="str">
        <f>FQ148</f>
        <v/>
      </c>
    </row>
    <row r="179" spans="32:179" hidden="1" x14ac:dyDescent="0.25">
      <c r="FU179" s="138"/>
      <c r="FW179" s="149"/>
    </row>
    <row r="180" spans="32:179" hidden="1" x14ac:dyDescent="0.25">
      <c r="FU180" s="138">
        <f>FU178+1</f>
        <v>32</v>
      </c>
      <c r="FW180" s="149" t="str">
        <f>FQ149</f>
        <v/>
      </c>
    </row>
    <row r="181" spans="32:179" hidden="1" x14ac:dyDescent="0.25">
      <c r="FU181" s="142"/>
      <c r="FV181" s="83"/>
      <c r="FW181" s="143"/>
    </row>
    <row r="182" spans="32:179" hidden="1" x14ac:dyDescent="0.25"/>
    <row r="183" spans="32:179" hidden="1" x14ac:dyDescent="0.25"/>
    <row r="184" spans="32:179" hidden="1" x14ac:dyDescent="0.25"/>
    <row r="185" spans="32:179" hidden="1" x14ac:dyDescent="0.25"/>
    <row r="186" spans="32:179" hidden="1" x14ac:dyDescent="0.25"/>
    <row r="187" spans="32:179" hidden="1" x14ac:dyDescent="0.25"/>
    <row r="188" spans="32:179" hidden="1" x14ac:dyDescent="0.25"/>
    <row r="189" spans="32:179" hidden="1" x14ac:dyDescent="0.25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60"/>
  <sheetViews>
    <sheetView tabSelected="1" topLeftCell="A22" workbookViewId="0">
      <selection activeCell="F50" sqref="F50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16" width="3.33203125" customWidth="1"/>
    <col min="17" max="17" width="4.88671875" customWidth="1"/>
    <col min="18" max="18" width="0" style="1" hidden="1" customWidth="1"/>
    <col min="19" max="20" width="3.33203125" hidden="1" customWidth="1"/>
    <col min="21" max="21" width="3.33203125" customWidth="1"/>
    <col min="22" max="24" width="9.109375" style="1" hidden="1" customWidth="1"/>
    <col min="25" max="25" width="11.44140625" style="1" hidden="1" customWidth="1"/>
    <col min="26" max="26" width="9.109375" style="1" hidden="1" customWidth="1"/>
    <col min="27" max="27" width="6.88671875" style="1" hidden="1" customWidth="1"/>
    <col min="28" max="28" width="15.44140625" hidden="1" customWidth="1"/>
    <col min="29" max="29" width="9.109375" hidden="1" customWidth="1"/>
    <col min="30" max="32" width="3.6640625" style="36" hidden="1" customWidth="1"/>
    <col min="33" max="33" width="6.44140625" style="128" hidden="1" customWidth="1"/>
    <col min="34" max="35" width="5.6640625" style="36" hidden="1" customWidth="1"/>
    <col min="36" max="37" width="5.6640625" style="36" customWidth="1"/>
    <col min="38" max="41" width="3.33203125" style="36" customWidth="1"/>
    <col min="42" max="42" width="5.6640625" style="36" customWidth="1"/>
    <col min="43" max="46" width="3.33203125" style="36" customWidth="1"/>
    <col min="47" max="47" width="5.6640625" style="36" customWidth="1"/>
    <col min="48" max="51" width="3.33203125" style="36" customWidth="1"/>
    <col min="52" max="52" width="5.6640625" style="36" customWidth="1"/>
    <col min="53" max="53" width="5.6640625" style="36" hidden="1" customWidth="1"/>
    <col min="54" max="57" width="4.6640625" style="36" hidden="1" customWidth="1"/>
    <col min="58" max="66" width="4.6640625" style="1" hidden="1" customWidth="1"/>
    <col min="67" max="67" width="4.6640625" style="36" hidden="1" customWidth="1"/>
    <col min="68" max="69" width="5.6640625" style="36" hidden="1" customWidth="1"/>
    <col min="70" max="80" width="3.33203125" style="36" hidden="1" customWidth="1"/>
    <col min="81" max="82" width="5.6640625" style="36" hidden="1" customWidth="1"/>
    <col min="83" max="91" width="6.6640625" style="36" hidden="1" customWidth="1"/>
    <col min="92" max="94" width="6.6640625" style="72" hidden="1" customWidth="1"/>
    <col min="95" max="95" width="6.6640625" style="36" hidden="1" customWidth="1"/>
    <col min="96" max="96" width="4.44140625" style="36" hidden="1" customWidth="1"/>
    <col min="97" max="97" width="15.33203125" style="127" hidden="1" customWidth="1"/>
    <col min="98" max="98" width="9.109375" style="36" hidden="1" customWidth="1"/>
    <col min="99" max="99" width="16.5546875" style="127" hidden="1" customWidth="1"/>
    <col min="100" max="100" width="5.6640625" style="1" hidden="1" customWidth="1"/>
    <col min="101" max="101" width="8.33203125" hidden="1" customWidth="1"/>
    <col min="102" max="102" width="7.88671875" hidden="1" customWidth="1"/>
    <col min="103" max="103" width="5.6640625" hidden="1" customWidth="1"/>
    <col min="104" max="104" width="7.6640625" hidden="1" customWidth="1"/>
    <col min="105" max="105" width="8.109375" style="36" hidden="1" customWidth="1"/>
    <col min="106" max="111" width="5.6640625" style="36" hidden="1" customWidth="1"/>
    <col min="112" max="112" width="6.5546875" style="36" hidden="1" customWidth="1"/>
    <col min="113" max="113" width="7.5546875" style="128" hidden="1" customWidth="1"/>
    <col min="114" max="114" width="5.44140625" style="36" hidden="1" customWidth="1"/>
    <col min="115" max="115" width="9.109375" style="36" hidden="1" customWidth="1"/>
    <col min="116" max="116" width="21.33203125" style="36" hidden="1" customWidth="1"/>
    <col min="117" max="118" width="9.109375" style="36" hidden="1" customWidth="1"/>
    <col min="119" max="120" width="9.109375" hidden="1" customWidth="1"/>
    <col min="121" max="121" width="9.109375" style="36" hidden="1" customWidth="1"/>
    <col min="122" max="122" width="19.109375" hidden="1" customWidth="1"/>
    <col min="123" max="124" width="9.109375" hidden="1" customWidth="1"/>
    <col min="125" max="125" width="9.44140625" style="36" hidden="1" customWidth="1"/>
    <col min="126" max="127" width="9.109375" hidden="1" customWidth="1"/>
    <col min="128" max="128" width="16" style="135" hidden="1" customWidth="1"/>
    <col min="129" max="130" width="9.109375" hidden="1" customWidth="1"/>
    <col min="131" max="142" width="9.109375" style="36" hidden="1" customWidth="1"/>
    <col min="143" max="143" width="9.109375" style="36" customWidth="1"/>
    <col min="144" max="144" width="18.109375" customWidth="1"/>
    <col min="145" max="145" width="9.109375" style="36" customWidth="1"/>
    <col min="146" max="182" width="9.109375" customWidth="1"/>
    <col min="183" max="184" width="11.44140625" bestFit="1" customWidth="1"/>
    <col min="186" max="186" width="11.44140625" bestFit="1" customWidth="1"/>
    <col min="189" max="189" width="11.33203125" bestFit="1" customWidth="1"/>
    <col min="192" max="192" width="15.88671875" customWidth="1"/>
    <col min="199" max="199" width="17.88671875" customWidth="1"/>
    <col min="208" max="208" width="11.44140625" bestFit="1" customWidth="1"/>
    <col min="209" max="209" width="14" customWidth="1"/>
    <col min="213" max="213" width="12" bestFit="1" customWidth="1"/>
    <col min="218" max="218" width="11" customWidth="1"/>
  </cols>
  <sheetData>
    <row r="1" spans="1:144" ht="30" customHeight="1" x14ac:dyDescent="0.25">
      <c r="A1" s="289" t="str">
        <f>[1]List1!$A$20</f>
        <v>Tabulka finále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</row>
    <row r="2" spans="1:144" ht="17.399999999999999" x14ac:dyDescent="0.3">
      <c r="A2" s="366" t="str">
        <f>CONCATENATE('Vážní listina'!A2)</f>
        <v>4. ročník „O ZLATÉ JABLKO “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S2" s="1"/>
      <c r="T2" s="1"/>
      <c r="U2" s="1"/>
      <c r="DA2" s="128"/>
      <c r="DB2" s="128"/>
      <c r="DC2" s="128"/>
      <c r="DR2" s="36"/>
    </row>
    <row r="3" spans="1:144" ht="12" customHeigh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S3" s="41"/>
      <c r="T3" s="41"/>
      <c r="U3" s="41"/>
      <c r="Y3" s="93">
        <f>[2]Soutěž!$F$5</f>
        <v>0</v>
      </c>
      <c r="AA3" s="1" t="str">
        <f>[2]Soutěž!$H$5</f>
        <v>x</v>
      </c>
      <c r="AB3" s="15"/>
      <c r="AC3" s="36"/>
      <c r="AG3" s="136"/>
      <c r="BA3" s="67"/>
      <c r="BB3" s="67"/>
      <c r="BC3" s="67"/>
      <c r="BD3" s="67"/>
      <c r="BY3" s="288"/>
      <c r="BZ3" s="288"/>
      <c r="CA3" s="288"/>
      <c r="CB3" s="288"/>
      <c r="CC3" s="288"/>
      <c r="CD3" s="288"/>
      <c r="CZ3" s="36">
        <v>1</v>
      </c>
      <c r="DA3" s="36" t="s">
        <v>26</v>
      </c>
      <c r="DO3" s="295"/>
      <c r="DP3" s="295"/>
      <c r="DQ3" s="295"/>
      <c r="DR3" s="36"/>
      <c r="DS3" s="36"/>
    </row>
    <row r="4" spans="1:144" x14ac:dyDescent="0.25">
      <c r="A4" s="23" t="str">
        <f>CONCATENATE([1]List1!$A$3)</f>
        <v>Místo:</v>
      </c>
      <c r="B4" s="367" t="str">
        <f>CONCATENATE('Vážní listina'!D3)</f>
        <v>Jablunkov</v>
      </c>
      <c r="C4" s="367"/>
      <c r="D4" s="367"/>
      <c r="E4" s="367"/>
      <c r="K4" s="8"/>
      <c r="L4" s="8"/>
      <c r="M4" s="8"/>
      <c r="N4" s="8"/>
      <c r="O4" s="8"/>
      <c r="S4" s="8"/>
      <c r="T4" s="8"/>
      <c r="AG4" s="136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BA4" s="67"/>
      <c r="BB4" s="67"/>
      <c r="BC4" s="67"/>
      <c r="BD4" s="67"/>
      <c r="BP4" s="128"/>
      <c r="BR4" s="128"/>
      <c r="BS4" s="128"/>
      <c r="CZ4" s="36">
        <v>2</v>
      </c>
      <c r="DA4" s="36" t="s">
        <v>27</v>
      </c>
      <c r="DR4" s="36"/>
      <c r="EA4" s="67"/>
    </row>
    <row r="5" spans="1:144" ht="13.8" thickBot="1" x14ac:dyDescent="0.3">
      <c r="A5" s="23" t="str">
        <f>CONCATENATE([1]List1!$A$4)</f>
        <v>Datum:</v>
      </c>
      <c r="B5" s="8" t="str">
        <f>CONCATENATE('Vážní listina'!D4)</f>
        <v xml:space="preserve"> 27.1.2024 </v>
      </c>
      <c r="C5" s="8"/>
      <c r="E5" s="292" t="str">
        <f>CONCATENATE([1]List1!$A$5)</f>
        <v>Hmotnost:</v>
      </c>
      <c r="F5" s="292"/>
      <c r="G5" s="292"/>
      <c r="H5" s="367" t="str">
        <f>CONCATENATE('Tabulka kvalifikace'!J4)</f>
        <v>A příp 39 kg</v>
      </c>
      <c r="I5" s="367"/>
      <c r="J5" s="367"/>
      <c r="K5" s="367"/>
      <c r="L5" s="367"/>
      <c r="M5" s="367"/>
      <c r="N5" s="8"/>
      <c r="O5" s="23" t="str">
        <f>CONCATENATE([1]List1!$A$6)</f>
        <v>styl:</v>
      </c>
      <c r="P5" s="8"/>
      <c r="Q5" s="8" t="str">
        <f>CONCATENATE('Vážní listina'!I4)</f>
        <v>v.s.</v>
      </c>
      <c r="S5" s="1"/>
      <c r="T5" s="1"/>
      <c r="U5" s="1"/>
      <c r="CF5" s="71"/>
      <c r="CG5" s="67"/>
      <c r="CV5" s="36"/>
      <c r="CW5" s="36"/>
      <c r="CX5" s="1"/>
      <c r="CZ5" s="36">
        <v>3</v>
      </c>
      <c r="DA5" s="36" t="s">
        <v>28</v>
      </c>
      <c r="DI5" s="36"/>
      <c r="DK5" s="128"/>
      <c r="DQ5"/>
      <c r="DR5" s="135"/>
      <c r="DS5" s="36"/>
    </row>
    <row r="6" spans="1:144" ht="15.75" customHeight="1" thickTop="1" x14ac:dyDescent="0.25">
      <c r="A6" s="23"/>
      <c r="B6" s="8"/>
      <c r="C6" s="8"/>
      <c r="E6" s="8"/>
      <c r="F6" s="8"/>
      <c r="G6" s="8"/>
      <c r="H6" s="8"/>
      <c r="I6" s="8"/>
      <c r="J6" s="2"/>
      <c r="K6" s="2"/>
      <c r="L6" s="2"/>
      <c r="M6" s="2"/>
      <c r="N6" s="2"/>
      <c r="O6" s="2"/>
      <c r="P6" s="2"/>
      <c r="Q6" s="2"/>
      <c r="S6" s="2"/>
      <c r="T6" s="2"/>
      <c r="U6" s="2"/>
      <c r="Z6" s="15"/>
      <c r="AE6" s="67"/>
      <c r="AG6" s="36"/>
      <c r="AK6" s="20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197"/>
      <c r="BA6" s="67"/>
      <c r="BB6" s="67"/>
      <c r="BC6" s="67"/>
      <c r="BD6" s="67"/>
      <c r="CF6" s="71"/>
      <c r="CS6" s="127">
        <v>99</v>
      </c>
      <c r="CT6" s="67"/>
      <c r="CV6" s="36"/>
      <c r="CW6" s="36"/>
      <c r="CX6" s="1"/>
      <c r="DI6" s="36"/>
      <c r="DK6" s="128"/>
      <c r="DQ6"/>
      <c r="DS6" s="36"/>
      <c r="EA6" s="67"/>
    </row>
    <row r="7" spans="1:144" ht="15.75" customHeight="1" thickBot="1" x14ac:dyDescent="0.3">
      <c r="A7" s="292" t="str">
        <f>CONCATENATE([1]List1!$A$21)</f>
        <v>Repasáž - horní větev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S7" s="71"/>
      <c r="T7" s="71"/>
      <c r="U7" s="71"/>
      <c r="Z7" s="134"/>
      <c r="AA7" s="36"/>
      <c r="AB7" s="53"/>
      <c r="AC7" s="53"/>
      <c r="AK7" s="203"/>
      <c r="AL7" s="460" t="str">
        <f>[1]List1!$A$226</f>
        <v>Zde doplňovat výsledky</v>
      </c>
      <c r="AM7" s="460"/>
      <c r="AN7" s="460"/>
      <c r="AO7" s="460"/>
      <c r="AP7" s="460"/>
      <c r="AQ7" s="460"/>
      <c r="AR7" s="460"/>
      <c r="AS7" s="460"/>
      <c r="AT7" s="460"/>
      <c r="AU7" s="460"/>
      <c r="AV7" s="460"/>
      <c r="AW7" s="460"/>
      <c r="AX7" s="460"/>
      <c r="AY7" s="460"/>
      <c r="AZ7" s="173"/>
      <c r="CF7" s="71"/>
      <c r="CV7" s="36"/>
      <c r="CW7" s="36"/>
      <c r="CX7" s="1"/>
      <c r="DI7" s="36"/>
      <c r="DK7" s="128"/>
      <c r="DQ7"/>
      <c r="DS7" s="36"/>
      <c r="DT7" s="36"/>
      <c r="DV7" s="36"/>
      <c r="EC7" s="288"/>
      <c r="ED7" s="288"/>
      <c r="EE7" s="288"/>
      <c r="EG7" s="288"/>
      <c r="EH7" s="288"/>
      <c r="EI7" s="288"/>
    </row>
    <row r="8" spans="1:144" ht="14.4" thickTop="1" thickBot="1" x14ac:dyDescent="0.3">
      <c r="A8" s="61"/>
      <c r="B8" s="62"/>
      <c r="C8" s="62"/>
      <c r="D8" s="62"/>
      <c r="E8" s="62"/>
      <c r="F8" s="62"/>
      <c r="G8" s="62"/>
      <c r="H8" s="62"/>
      <c r="I8" s="62"/>
      <c r="J8" s="42"/>
      <c r="K8" s="42"/>
      <c r="L8" s="42"/>
      <c r="M8" s="42"/>
      <c r="N8" s="42"/>
      <c r="O8" s="42"/>
      <c r="P8" s="42"/>
      <c r="Q8" s="117" t="s">
        <v>12</v>
      </c>
      <c r="S8" s="2"/>
      <c r="T8" s="2"/>
      <c r="U8" s="2"/>
      <c r="AK8" s="203"/>
      <c r="AL8" s="460"/>
      <c r="AM8" s="460"/>
      <c r="AN8" s="460"/>
      <c r="AO8" s="460"/>
      <c r="AP8" s="460"/>
      <c r="AQ8" s="460"/>
      <c r="AR8" s="460"/>
      <c r="AS8" s="460"/>
      <c r="AT8" s="460"/>
      <c r="AU8" s="460"/>
      <c r="AV8" s="460"/>
      <c r="AW8" s="460"/>
      <c r="AX8" s="460"/>
      <c r="AY8" s="460"/>
      <c r="AZ8" s="257"/>
      <c r="BA8" s="56"/>
      <c r="BB8" s="56"/>
      <c r="BC8" s="56"/>
      <c r="BD8" s="56"/>
      <c r="BE8" s="63"/>
      <c r="BF8" s="124"/>
      <c r="BG8" s="124"/>
      <c r="BH8" s="124"/>
      <c r="BI8" s="124"/>
      <c r="BJ8" s="124"/>
      <c r="BK8" s="124"/>
      <c r="BL8" s="124"/>
      <c r="BM8" s="124"/>
      <c r="BN8" s="124"/>
      <c r="BO8" s="56"/>
      <c r="CV8" s="36"/>
      <c r="CW8" s="36"/>
      <c r="CX8" s="36"/>
      <c r="CY8" s="36"/>
      <c r="CZ8" s="36"/>
      <c r="DI8" s="36"/>
      <c r="DM8" s="128"/>
      <c r="DN8" s="128"/>
      <c r="DO8" s="36"/>
      <c r="DP8" s="36"/>
      <c r="DQ8"/>
      <c r="DR8" s="127"/>
      <c r="DT8" s="36"/>
      <c r="DV8" s="36"/>
    </row>
    <row r="9" spans="1:144" ht="24.9" customHeight="1" thickTop="1" thickBot="1" x14ac:dyDescent="0.3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340" t="str">
        <f>CONCATENATE([1]List1!$A$23)</f>
        <v>1. repas</v>
      </c>
      <c r="F9" s="341"/>
      <c r="G9" s="342"/>
      <c r="H9" s="340" t="str">
        <f>CONCATENATE([1]List1!$A$24)</f>
        <v>2. repas</v>
      </c>
      <c r="I9" s="341"/>
      <c r="J9" s="342"/>
      <c r="K9" s="340" t="str">
        <f>CONCATENATE([1]List1!$A$25)</f>
        <v>3. repas</v>
      </c>
      <c r="L9" s="341"/>
      <c r="M9" s="342"/>
      <c r="N9" s="347" t="str">
        <f>CONCATENATE([1]List1!$A$17)</f>
        <v>výsledky              B   T   O</v>
      </c>
      <c r="O9" s="348"/>
      <c r="P9" s="349"/>
      <c r="Q9" s="5" t="str">
        <f>CONCATENATE([1]List1!$A$18)</f>
        <v>poř.</v>
      </c>
      <c r="S9" s="71"/>
      <c r="T9" s="71"/>
      <c r="U9" s="71"/>
      <c r="AD9" s="458">
        <f>S9</f>
        <v>0</v>
      </c>
      <c r="AE9" s="458"/>
      <c r="AF9" s="458"/>
      <c r="AG9" s="131" t="str">
        <f>[1]List1!$B$8</f>
        <v>skut. hmot. kg</v>
      </c>
      <c r="AK9" s="203"/>
      <c r="AL9" s="290" t="str">
        <f>E9</f>
        <v>1. repas</v>
      </c>
      <c r="AM9" s="290"/>
      <c r="AN9" s="290"/>
      <c r="AO9" s="290"/>
      <c r="AQ9" s="290" t="str">
        <f>H9</f>
        <v>2. repas</v>
      </c>
      <c r="AR9" s="290"/>
      <c r="AS9" s="290"/>
      <c r="AT9" s="290"/>
      <c r="AV9" s="288" t="str">
        <f>K9</f>
        <v>3. repas</v>
      </c>
      <c r="AW9" s="288"/>
      <c r="AX9" s="288"/>
      <c r="AY9" s="288"/>
      <c r="AZ9" s="173"/>
      <c r="CC9" s="227" t="str">
        <f>D9</f>
        <v>los</v>
      </c>
      <c r="CD9" s="408" t="str">
        <f>E9</f>
        <v>1. repas</v>
      </c>
      <c r="CE9" s="408"/>
      <c r="CF9" s="406" t="str">
        <f>H9</f>
        <v>2. repas</v>
      </c>
      <c r="CG9" s="407"/>
      <c r="CH9" s="408" t="str">
        <f>K9</f>
        <v>3. repas</v>
      </c>
      <c r="CI9" s="408"/>
      <c r="CJ9" s="222" t="str">
        <f>[1]List1!$B$28</f>
        <v>body</v>
      </c>
      <c r="CK9" s="223" t="str">
        <f>[1]List1!$B$29</f>
        <v>tech. body</v>
      </c>
      <c r="CN9" s="235" t="str">
        <f>[1]List1!$G$21</f>
        <v>lopatky</v>
      </c>
      <c r="CO9" s="236" t="str">
        <f>[1]List1!$G$22</f>
        <v>tech. přev.</v>
      </c>
      <c r="CP9" s="237" t="str">
        <f>[1]List1!$G$23</f>
        <v>body</v>
      </c>
      <c r="CS9" s="127" t="s">
        <v>6</v>
      </c>
      <c r="CU9" s="127" t="s">
        <v>25</v>
      </c>
      <c r="CV9" s="36" t="s">
        <v>5</v>
      </c>
      <c r="CW9" s="36"/>
      <c r="CX9" s="36" t="str">
        <f>CC9</f>
        <v>los</v>
      </c>
      <c r="CY9" s="36"/>
      <c r="CZ9" s="36" t="s">
        <v>6</v>
      </c>
      <c r="DA9" s="36" t="s">
        <v>4</v>
      </c>
      <c r="DB9" s="36" t="s">
        <v>5</v>
      </c>
      <c r="DC9" s="36" t="s">
        <v>7</v>
      </c>
      <c r="DI9" s="36"/>
      <c r="DM9" s="129"/>
      <c r="DN9" s="128"/>
      <c r="DO9" s="36"/>
      <c r="DP9" s="36"/>
      <c r="DR9" s="127"/>
      <c r="DV9" s="36"/>
      <c r="ED9" s="72"/>
      <c r="EE9" s="72"/>
      <c r="EF9" s="72"/>
      <c r="EG9" s="72"/>
      <c r="EH9" s="72"/>
      <c r="EI9" s="72"/>
      <c r="EJ9" s="72"/>
      <c r="EK9" s="72"/>
    </row>
    <row r="10" spans="1:144" ht="14.25" customHeight="1" thickTop="1" thickBot="1" x14ac:dyDescent="0.3">
      <c r="A10" s="435" t="str">
        <f>IF('Tabulka kvalifikace'!AC5="","",(IF(D10="","",(INDEX($AB$10:$AB$41,D10)))))</f>
        <v>Bělohoubek Daniel</v>
      </c>
      <c r="B10" s="436" t="str">
        <f>IF('Tabulka kvalifikace'!AC5="","",(IF(D10="","",(INDEX($AC$10:$AC$41,D10)))))</f>
        <v>Tichá</v>
      </c>
      <c r="C10" s="437"/>
      <c r="D10" s="409">
        <f>IF('Tabulka kvalifikace'!AC5="","",('Tabulka kvalifikace'!FS81))</f>
        <v>1</v>
      </c>
      <c r="E10" s="371">
        <f>IF('Tabulka kvalifikace'!AC5="","",('Tabulka kvalifikace'!FT81))</f>
        <v>2</v>
      </c>
      <c r="F10" s="24">
        <f>IF(D10="","",(IF(AN10="",BU10,AN10)))</f>
        <v>5</v>
      </c>
      <c r="G10" s="25"/>
      <c r="H10" s="371">
        <f>IF('Tabulka kvalifikace'!AC5="","",('Tabulka kvalifikace'!FW81))</f>
        <v>3</v>
      </c>
      <c r="I10" s="24">
        <f>IF(D10="","",IF(AS10="",BX10,AS10))</f>
        <v>0</v>
      </c>
      <c r="J10" s="25"/>
      <c r="K10" s="428" t="str">
        <f>IF('Tabulka kvalifikace'!AC5="","",('Tabulka kvalifikace'!FZ81))</f>
        <v>VL</v>
      </c>
      <c r="L10" s="24" t="str">
        <f>IF(D10="","",IF(AX10="",CA10,AX10))</f>
        <v/>
      </c>
      <c r="M10" s="25"/>
      <c r="N10" s="358">
        <f>BF10</f>
        <v>5</v>
      </c>
      <c r="O10" s="385">
        <f>BF11</f>
        <v>2</v>
      </c>
      <c r="P10" s="386">
        <f>BK10</f>
        <v>0</v>
      </c>
      <c r="Q10" s="388" t="str">
        <f>IF(D10="","",IF($Q$8="","",(IF('Tabulka kvalifikace'!AC5="","",(DG10)))))</f>
        <v>FII</v>
      </c>
      <c r="S10" s="56"/>
      <c r="T10" s="56"/>
      <c r="U10" s="294">
        <f>IF(D10="","",IF($Q$8="","",(IF('Tabulka kvalifikace'!AC5="","",(DH10)))))</f>
        <v>2</v>
      </c>
      <c r="AA10" s="1">
        <v>1</v>
      </c>
      <c r="AB10" s="74" t="str">
        <f>'Vážní listina'!D7</f>
        <v>Bělohoubek Daniel</v>
      </c>
      <c r="AC10" s="74" t="str">
        <f>'Vážní listina'!E7</f>
        <v>Tichá</v>
      </c>
      <c r="AD10" s="36">
        <f>'Tabulka kvalifikace'!Z7</f>
        <v>5</v>
      </c>
      <c r="AE10" s="36">
        <f>'Tabulka kvalifikace'!AA7</f>
        <v>2</v>
      </c>
      <c r="AF10" s="36">
        <f>'Tabulka kvalifikace'!AB7</f>
        <v>0</v>
      </c>
      <c r="AG10" s="128">
        <f>'Vážní listina'!H7</f>
        <v>38.200000000000003</v>
      </c>
      <c r="AH10" s="288"/>
      <c r="AK10" s="203"/>
      <c r="AL10" s="409" t="str">
        <f>IF(D10="","",'Tabulka kvalifikace'!GC121)</f>
        <v>xxx</v>
      </c>
      <c r="AM10" s="459" t="str">
        <f>IF(D10="","",AL12)</f>
        <v>xxx</v>
      </c>
      <c r="AN10" s="24"/>
      <c r="AO10" s="25"/>
      <c r="AQ10" s="409" t="str">
        <f>IF(D10="","",'Tabulka kvalifikace'!GG121)</f>
        <v>xxx</v>
      </c>
      <c r="AR10" s="459" t="str">
        <f>IF(D10="","",AQ14)</f>
        <v>xxx</v>
      </c>
      <c r="AS10" s="24"/>
      <c r="AT10" s="25"/>
      <c r="AY10" s="53"/>
      <c r="AZ10" s="258"/>
      <c r="BC10" s="36">
        <f t="shared" ref="BC10:BC15" si="0">F10</f>
        <v>5</v>
      </c>
      <c r="BD10" s="36">
        <f t="shared" ref="BD10:BD15" si="1">I10</f>
        <v>0</v>
      </c>
      <c r="BE10" s="36" t="str">
        <f t="shared" ref="BE10:BE15" si="2">L10</f>
        <v/>
      </c>
      <c r="BF10" s="1">
        <f t="shared" ref="BF10:BF15" si="3">SUM(BC10:BE10)</f>
        <v>5</v>
      </c>
      <c r="BH10" s="1">
        <f>G10</f>
        <v>0</v>
      </c>
      <c r="BI10" s="1">
        <f>J10</f>
        <v>0</v>
      </c>
      <c r="BJ10" s="1">
        <f>M10</f>
        <v>0</v>
      </c>
      <c r="BK10" s="1">
        <f>SUM(BH10:BJ10)</f>
        <v>0</v>
      </c>
      <c r="BO10" s="53"/>
      <c r="BS10" s="409">
        <f>D10</f>
        <v>1</v>
      </c>
      <c r="BT10" s="371">
        <f>'Tabulka kvalifikace'!FT81</f>
        <v>2</v>
      </c>
      <c r="BU10" s="24">
        <f>'Tabulka kvalifikace'!FU81</f>
        <v>5</v>
      </c>
      <c r="BV10" s="25"/>
      <c r="BW10" s="371">
        <f>'Tabulka kvalifikace'!FW81</f>
        <v>3</v>
      </c>
      <c r="BX10" s="24">
        <f>'Tabulka kvalifikace'!FX81</f>
        <v>0</v>
      </c>
      <c r="BY10" s="25"/>
      <c r="BZ10" s="428" t="str">
        <f>'Tabulka kvalifikace'!FZ81</f>
        <v>VL</v>
      </c>
      <c r="CA10" s="24" t="str">
        <f>'Tabulka kvalifikace'!GA81</f>
        <v/>
      </c>
      <c r="CB10" s="217"/>
      <c r="CC10" s="228">
        <f>D10</f>
        <v>1</v>
      </c>
      <c r="CD10" s="36">
        <f>F10</f>
        <v>5</v>
      </c>
      <c r="CE10" s="36">
        <f>F11</f>
        <v>2</v>
      </c>
      <c r="CF10" s="152">
        <f>I10</f>
        <v>0</v>
      </c>
      <c r="CG10" s="153">
        <f>I11</f>
        <v>0</v>
      </c>
      <c r="CH10" s="36" t="str">
        <f>L10</f>
        <v/>
      </c>
      <c r="CI10" s="36" t="str">
        <f>L11</f>
        <v/>
      </c>
      <c r="CJ10" s="177">
        <f>N10</f>
        <v>5</v>
      </c>
      <c r="CK10" s="224">
        <f>O10</f>
        <v>2</v>
      </c>
      <c r="CN10" s="230">
        <f>IF(CD10=5,1,0)+IF(CF10=5,1,0)+IF(CH10=5,1,0)</f>
        <v>1</v>
      </c>
      <c r="CO10" s="72">
        <f>IF(CD10=4,1,0)+IF(CF10=4,1,0)+IF(CH10=4,1,0)</f>
        <v>0</v>
      </c>
      <c r="CP10" s="231">
        <f>IF(CD10=3,1,0)+IF(CF10=3,1,0)+IF(CH10=3,1,0)</f>
        <v>0</v>
      </c>
      <c r="CR10" s="36">
        <v>1</v>
      </c>
      <c r="CS10" s="127">
        <f>((((((100+CJ10)*100+CK10)*10+CN10)*10+CO10)*10+CP10)*100+($CS$6-CC10))+0.01*(CC10)+0.001</f>
        <v>1050210098.011</v>
      </c>
      <c r="CU10" s="127">
        <f>LARGE($CS$10:$CS$12,CR10)</f>
        <v>1100820096.0309999</v>
      </c>
      <c r="CV10" s="36">
        <f>LEN(CU10)</f>
        <v>14</v>
      </c>
      <c r="CW10" s="36"/>
      <c r="CX10" s="36">
        <f>VALUE(MID(CU10,CV10-1,2))</f>
        <v>31</v>
      </c>
      <c r="CY10" s="36"/>
      <c r="CZ10" s="36">
        <f>100000+CX10*100+CZ3</f>
        <v>103101</v>
      </c>
      <c r="DA10" s="36">
        <f>SMALL($CZ$10:$CZ$12,CR10)</f>
        <v>101102</v>
      </c>
      <c r="DB10" s="36">
        <f>LEN(DA10)</f>
        <v>6</v>
      </c>
      <c r="DC10" s="36">
        <f>VALUE(MID(DA10,DB10-1,2))</f>
        <v>2</v>
      </c>
      <c r="DE10" s="36" t="str">
        <f>IF(DC10=$CZ$3,$DA$3,IF(DC10=$CZ$4,$DA$4,IF(DC10=$CZ$5,$DA$5,"")))</f>
        <v>FII</v>
      </c>
      <c r="DG10" s="36" t="str">
        <f>DE10</f>
        <v>FII</v>
      </c>
      <c r="DH10" s="36">
        <f>DC10</f>
        <v>2</v>
      </c>
      <c r="DI10" s="36"/>
      <c r="DM10" s="128"/>
      <c r="DN10" s="128"/>
      <c r="DO10" s="36"/>
      <c r="DP10" s="36"/>
      <c r="DR10" s="130"/>
      <c r="DT10" s="36"/>
      <c r="DV10" s="36"/>
      <c r="EN10" s="135"/>
    </row>
    <row r="11" spans="1:144" ht="14.25" customHeight="1" thickBot="1" x14ac:dyDescent="0.3">
      <c r="A11" s="418"/>
      <c r="B11" s="419"/>
      <c r="C11" s="420"/>
      <c r="D11" s="410"/>
      <c r="E11" s="334"/>
      <c r="F11" s="29">
        <f>IF(D10="","",IF(AN11="",BU11,AN11))</f>
        <v>2</v>
      </c>
      <c r="G11" s="28"/>
      <c r="H11" s="334"/>
      <c r="I11" s="29">
        <f>IF(D10="","",IF(AS11="",BX11,AS11))</f>
        <v>0</v>
      </c>
      <c r="J11" s="28"/>
      <c r="K11" s="411"/>
      <c r="L11" s="29" t="str">
        <f>IF(D10="","",IF(AX11="",CA11,AX11))</f>
        <v/>
      </c>
      <c r="M11" s="28"/>
      <c r="N11" s="338"/>
      <c r="O11" s="335"/>
      <c r="P11" s="336"/>
      <c r="Q11" s="328"/>
      <c r="S11" s="56"/>
      <c r="T11" s="56"/>
      <c r="U11" s="294"/>
      <c r="AA11" s="1">
        <f>AA10+1</f>
        <v>2</v>
      </c>
      <c r="AB11" s="74" t="str">
        <f>'Vážní listina'!D8</f>
        <v xml:space="preserve">Jabłońska Natasza </v>
      </c>
      <c r="AC11" s="74" t="str">
        <f>'Vážní listina'!E8</f>
        <v>ULSK</v>
      </c>
      <c r="AD11" s="36">
        <f>'Tabulka kvalifikace'!Z9</f>
        <v>0</v>
      </c>
      <c r="AE11" s="36">
        <f>'Tabulka kvalifikace'!AA9</f>
        <v>0</v>
      </c>
      <c r="AF11" s="36">
        <f>'Tabulka kvalifikace'!AB9</f>
        <v>0</v>
      </c>
      <c r="AG11" s="128">
        <f>'Vážní listina'!H8</f>
        <v>39</v>
      </c>
      <c r="AH11" s="288"/>
      <c r="AK11" s="203"/>
      <c r="AL11" s="410">
        <f>D12</f>
        <v>2</v>
      </c>
      <c r="AM11" s="334"/>
      <c r="AN11" s="27"/>
      <c r="AO11" s="28"/>
      <c r="AQ11" s="410" t="str">
        <f>I12</f>
        <v/>
      </c>
      <c r="AR11" s="334"/>
      <c r="AS11" s="27"/>
      <c r="AT11" s="28"/>
      <c r="AY11" s="53"/>
      <c r="AZ11" s="258"/>
      <c r="BC11" s="36">
        <f t="shared" si="0"/>
        <v>2</v>
      </c>
      <c r="BD11" s="36">
        <f t="shared" si="1"/>
        <v>0</v>
      </c>
      <c r="BE11" s="36" t="str">
        <f t="shared" si="2"/>
        <v/>
      </c>
      <c r="BF11" s="1">
        <f t="shared" si="3"/>
        <v>2</v>
      </c>
      <c r="BO11" s="53"/>
      <c r="BQ11" s="125">
        <f>IF('Tabulka kvalifikace'!AC5="","",('Tabulka kvalifikace'!GD89))</f>
        <v>0</v>
      </c>
      <c r="BS11" s="410"/>
      <c r="BT11" s="334"/>
      <c r="BU11" s="27">
        <f>'Tabulka kvalifikace'!FV81</f>
        <v>2</v>
      </c>
      <c r="BV11" s="28"/>
      <c r="BW11" s="334"/>
      <c r="BX11" s="27">
        <f>'Tabulka kvalifikace'!FY81</f>
        <v>0</v>
      </c>
      <c r="BY11" s="28"/>
      <c r="BZ11" s="411"/>
      <c r="CA11" s="27" t="str">
        <f>'Tabulka kvalifikace'!GB81</f>
        <v/>
      </c>
      <c r="CB11" s="218"/>
      <c r="CC11" s="228">
        <f>D12</f>
        <v>2</v>
      </c>
      <c r="CD11" s="36">
        <f>F12</f>
        <v>0</v>
      </c>
      <c r="CE11" s="36">
        <f>F13</f>
        <v>0</v>
      </c>
      <c r="CF11" s="152" t="str">
        <f>I12</f>
        <v/>
      </c>
      <c r="CG11" s="153" t="str">
        <f>I13</f>
        <v/>
      </c>
      <c r="CH11" s="36">
        <f>L12</f>
        <v>0</v>
      </c>
      <c r="CI11" s="36">
        <f>L13</f>
        <v>0</v>
      </c>
      <c r="CJ11" s="177">
        <f>N12</f>
        <v>0</v>
      </c>
      <c r="CK11" s="224">
        <f>O12</f>
        <v>0</v>
      </c>
      <c r="CN11" s="230">
        <f>IF(CD11=5,1,0)+IF(CF11=5,1,0)+IF(CH11=5,1,0)</f>
        <v>0</v>
      </c>
      <c r="CO11" s="72">
        <f>IF(CD11=4,1,0)+IF(CF11=4,1,0)+IF(CH11=4,1,0)</f>
        <v>0</v>
      </c>
      <c r="CP11" s="231">
        <f>IF(CD11=3,1,0)+IF(CF11=3,1,0)+IF(CH11=3,1,0)</f>
        <v>0</v>
      </c>
      <c r="CR11" s="36">
        <v>2</v>
      </c>
      <c r="CS11" s="127">
        <f t="shared" ref="CS11:CS12" si="4">((((((100+CJ11)*100+CK11)*10+CN11)*10+CO11)*10+CP11)*100+($CS$6-CC11))+0.01*(CC11)+0.001</f>
        <v>1000000097.021</v>
      </c>
      <c r="CU11" s="127">
        <f>LARGE($CS$10:$CS$12,CR11)</f>
        <v>1050210098.011</v>
      </c>
      <c r="CV11" s="36">
        <f>LEN(CU11)</f>
        <v>14</v>
      </c>
      <c r="CW11" s="36"/>
      <c r="CX11" s="36">
        <f>VALUE(MID(CU11,CV11-1,2))</f>
        <v>11</v>
      </c>
      <c r="CY11" s="36"/>
      <c r="CZ11" s="36">
        <f>100000+CX11*100+CZ4</f>
        <v>101102</v>
      </c>
      <c r="DA11" s="36">
        <f>SMALL($CZ$10:$CZ$12,CR11)</f>
        <v>102103</v>
      </c>
      <c r="DB11" s="36">
        <f>LEN(DA11)</f>
        <v>6</v>
      </c>
      <c r="DC11" s="36">
        <f>VALUE(MID(DA11,DB11-1,2))</f>
        <v>3</v>
      </c>
      <c r="DE11" s="36" t="str">
        <f>IF(DC11=$CZ$3,$DA$3,IF(DC11=$CZ$4,$DA$4,IF(DC11=$CZ$5,$DA$5,"")))</f>
        <v>FIII</v>
      </c>
      <c r="DI11" s="36"/>
      <c r="DM11" s="128"/>
      <c r="DN11" s="128"/>
      <c r="DO11" s="36"/>
      <c r="DP11" s="36"/>
      <c r="DR11" s="130"/>
      <c r="DT11" s="36"/>
      <c r="DV11" s="36"/>
      <c r="EN11" s="135"/>
    </row>
    <row r="12" spans="1:144" ht="14.25" customHeight="1" thickTop="1" thickBot="1" x14ac:dyDescent="0.3">
      <c r="A12" s="418" t="str">
        <f>IF('Tabulka kvalifikace'!AC5="","",(IF(D12="","",(INDEX($AB$10:$AB$41,D12)))))</f>
        <v xml:space="preserve">Jabłońska Natasza </v>
      </c>
      <c r="B12" s="419" t="str">
        <f>IF('Tabulka kvalifikace'!AC5="","",(IF(D12="","",(INDEX($AC$10:$AC$41,D12)))))</f>
        <v>ULSK</v>
      </c>
      <c r="C12" s="420"/>
      <c r="D12" s="404">
        <f>IF('Tabulka kvalifikace'!AC5="","",('Tabulka kvalifikace'!FS82))</f>
        <v>2</v>
      </c>
      <c r="E12" s="334">
        <f>IF('Tabulka kvalifikace'!AC5="","",('Tabulka kvalifikace'!FT82))</f>
        <v>1</v>
      </c>
      <c r="F12" s="31">
        <f>IF(D12="","",IF(AN12="",BU12,AN12))</f>
        <v>0</v>
      </c>
      <c r="G12" s="32"/>
      <c r="H12" s="334" t="str">
        <f>IF('Tabulka kvalifikace'!AC5="","",('Tabulka kvalifikace'!FW82))</f>
        <v>VL</v>
      </c>
      <c r="I12" s="31" t="str">
        <f>IF(AS12="",BX12,AS12)</f>
        <v/>
      </c>
      <c r="J12" s="32"/>
      <c r="K12" s="411">
        <f>IF('Tabulka kvalifikace'!AC5="","",('Tabulka kvalifikace'!FZ82))</f>
        <v>3</v>
      </c>
      <c r="L12" s="31">
        <f>IF(D12="","",IF(AX12="",CA12,AX12))</f>
        <v>0</v>
      </c>
      <c r="M12" s="32"/>
      <c r="N12" s="423">
        <f>BF12</f>
        <v>0</v>
      </c>
      <c r="O12" s="425">
        <f>BF13</f>
        <v>0</v>
      </c>
      <c r="P12" s="421">
        <f>BK12</f>
        <v>0</v>
      </c>
      <c r="Q12" s="328" t="str">
        <f>IF(D12="","",IF($Q$8="","",(IF('Tabulka kvalifikace'!AC5="","",(DG12)))))</f>
        <v>FIII</v>
      </c>
      <c r="S12" s="56"/>
      <c r="T12" s="56"/>
      <c r="U12" s="294">
        <f>IF($Q$8="","",(IF('Tabulka kvalifikace'!AC5="","",(DH12))))</f>
        <v>3</v>
      </c>
      <c r="AA12" s="1">
        <f t="shared" ref="AA12:AA41" si="5">AA11+1</f>
        <v>3</v>
      </c>
      <c r="AB12" s="74" t="str">
        <f>'Vážní listina'!D9</f>
        <v>MÍSAŘ Filip</v>
      </c>
      <c r="AC12" s="74" t="str">
        <f>'Vážní listina'!E9</f>
        <v>H.Brod</v>
      </c>
      <c r="AD12" s="36">
        <f>'Tabulka kvalifikace'!Z11</f>
        <v>10</v>
      </c>
      <c r="AE12" s="36">
        <f>'Tabulka kvalifikace'!AA11</f>
        <v>8</v>
      </c>
      <c r="AF12" s="36">
        <f>'Tabulka kvalifikace'!AB11</f>
        <v>0</v>
      </c>
      <c r="AG12" s="128">
        <f>'Vážní listina'!H9</f>
        <v>36.4</v>
      </c>
      <c r="AK12" s="203"/>
      <c r="AL12" s="404" t="str">
        <f>IF(D12="","",'Tabulka kvalifikace'!GD121)</f>
        <v>xxx</v>
      </c>
      <c r="AM12" s="414" t="str">
        <f>AL10</f>
        <v>xxx</v>
      </c>
      <c r="AN12" s="31"/>
      <c r="AO12" s="32"/>
      <c r="AQ12" s="415"/>
      <c r="AR12" s="483"/>
      <c r="AS12" s="43"/>
      <c r="AT12" s="43"/>
      <c r="AV12" s="409" t="str">
        <f>IF(D12="","",'Tabulka kvalifikace'!GI121)</f>
        <v>xxx</v>
      </c>
      <c r="AW12" s="459" t="str">
        <f>IF(D12="","",AV14)</f>
        <v>xxx</v>
      </c>
      <c r="AX12" s="24"/>
      <c r="AY12" s="25"/>
      <c r="AZ12" s="173"/>
      <c r="BC12" s="36">
        <f t="shared" si="0"/>
        <v>0</v>
      </c>
      <c r="BD12" s="36" t="str">
        <f t="shared" si="1"/>
        <v/>
      </c>
      <c r="BE12" s="36">
        <f t="shared" si="2"/>
        <v>0</v>
      </c>
      <c r="BF12" s="1">
        <f t="shared" si="3"/>
        <v>0</v>
      </c>
      <c r="BH12" s="1">
        <f>G12</f>
        <v>0</v>
      </c>
      <c r="BI12" s="1">
        <f>J12</f>
        <v>0</v>
      </c>
      <c r="BJ12" s="1">
        <f>M12</f>
        <v>0</v>
      </c>
      <c r="BK12" s="1">
        <f>SUM(BH12:BJ12)</f>
        <v>0</v>
      </c>
      <c r="BS12" s="404">
        <f>D12</f>
        <v>2</v>
      </c>
      <c r="BT12" s="334">
        <f>'Tabulka kvalifikace'!FT82</f>
        <v>1</v>
      </c>
      <c r="BU12" s="31">
        <f>'Tabulka kvalifikace'!FU82</f>
        <v>0</v>
      </c>
      <c r="BV12" s="32"/>
      <c r="BW12" s="334" t="str">
        <f>'Tabulka kvalifikace'!FW82</f>
        <v>VL</v>
      </c>
      <c r="BX12" s="31" t="str">
        <f>'Tabulka kvalifikace'!FX82</f>
        <v/>
      </c>
      <c r="BY12" s="32"/>
      <c r="BZ12" s="411">
        <f>'Tabulka kvalifikace'!FZ82</f>
        <v>3</v>
      </c>
      <c r="CA12" s="31">
        <f>'Tabulka kvalifikace'!GA82</f>
        <v>0</v>
      </c>
      <c r="CB12" s="219"/>
      <c r="CC12" s="229">
        <f>D14</f>
        <v>3</v>
      </c>
      <c r="CD12" s="81" t="str">
        <f>F14</f>
        <v/>
      </c>
      <c r="CE12" s="81" t="str">
        <f>F15</f>
        <v/>
      </c>
      <c r="CF12" s="220">
        <f>I14</f>
        <v>5</v>
      </c>
      <c r="CG12" s="221">
        <f>I15</f>
        <v>4</v>
      </c>
      <c r="CH12" s="81">
        <f>L14</f>
        <v>5</v>
      </c>
      <c r="CI12" s="81">
        <f>L15</f>
        <v>4</v>
      </c>
      <c r="CJ12" s="225">
        <f>N14</f>
        <v>10</v>
      </c>
      <c r="CK12" s="226">
        <f>O14</f>
        <v>8</v>
      </c>
      <c r="CN12" s="232">
        <f>IF(CD12=5,1,0)+IF(CF12=5,1,0)+IF(CH12=5,1,0)</f>
        <v>2</v>
      </c>
      <c r="CO12" s="233">
        <f>IF(CD12=4,1,0)+IF(CF12=4,1,0)+IF(CH12=4,1,0)</f>
        <v>0</v>
      </c>
      <c r="CP12" s="234">
        <f>IF(CD12=3,1,0)+IF(CF12=3,1,0)+IF(CH12=3,1,0)</f>
        <v>0</v>
      </c>
      <c r="CR12" s="36">
        <v>3</v>
      </c>
      <c r="CS12" s="127">
        <f t="shared" si="4"/>
        <v>1100820096.0309999</v>
      </c>
      <c r="CU12" s="127">
        <f>LARGE($CS$10:$CS$12,CR12)</f>
        <v>1000000097.021</v>
      </c>
      <c r="CV12" s="36">
        <f>LEN(CU12)</f>
        <v>14</v>
      </c>
      <c r="CW12" s="36"/>
      <c r="CX12" s="36">
        <f>VALUE(MID(CU12,CV12-1,2))</f>
        <v>21</v>
      </c>
      <c r="CY12" s="36"/>
      <c r="CZ12" s="36">
        <f>100000+CX12*100+CZ5</f>
        <v>102103</v>
      </c>
      <c r="DA12" s="36">
        <f>SMALL($CZ$10:$CZ$12,CR12)</f>
        <v>103101</v>
      </c>
      <c r="DB12" s="36">
        <f>LEN(DA12)</f>
        <v>6</v>
      </c>
      <c r="DC12" s="36">
        <f>VALUE(MID(DA12,DB12-1,2))</f>
        <v>1</v>
      </c>
      <c r="DE12" s="36" t="str">
        <f>IF(DC12=$CZ$3,$DA$3,IF(DC12=$CZ$4,$DA$4,IF(DC12=$CZ$5,$DA$5,"")))</f>
        <v>FI</v>
      </c>
      <c r="DG12" s="36" t="str">
        <f>DE11</f>
        <v>FIII</v>
      </c>
      <c r="DH12" s="36">
        <f>DC11</f>
        <v>3</v>
      </c>
      <c r="DI12" s="36"/>
      <c r="DM12" s="128"/>
      <c r="DN12" s="128"/>
      <c r="DO12" s="36"/>
      <c r="DP12" s="36"/>
      <c r="DR12" s="130"/>
      <c r="DT12" s="36"/>
      <c r="DV12" s="36"/>
      <c r="EN12" s="135"/>
    </row>
    <row r="13" spans="1:144" ht="14.25" customHeight="1" thickBot="1" x14ac:dyDescent="0.3">
      <c r="A13" s="418"/>
      <c r="B13" s="419"/>
      <c r="C13" s="420"/>
      <c r="D13" s="410"/>
      <c r="E13" s="334"/>
      <c r="F13" s="29">
        <f>IF(D12="","",IF(AN13="",BU13,AN13))</f>
        <v>0</v>
      </c>
      <c r="G13" s="30"/>
      <c r="H13" s="334"/>
      <c r="I13" s="29" t="str">
        <f>IF(AS13="",BX13,AS13)</f>
        <v/>
      </c>
      <c r="J13" s="30"/>
      <c r="K13" s="411"/>
      <c r="L13" s="29">
        <f>IF(D12="","",IF(AX13="",CA13,AX13))</f>
        <v>0</v>
      </c>
      <c r="M13" s="30"/>
      <c r="N13" s="424"/>
      <c r="O13" s="426"/>
      <c r="P13" s="422"/>
      <c r="Q13" s="328"/>
      <c r="S13" s="56"/>
      <c r="T13" s="56"/>
      <c r="U13" s="294"/>
      <c r="AA13" s="1">
        <f t="shared" si="5"/>
        <v>4</v>
      </c>
      <c r="AB13" s="74" t="str">
        <f>'Vážní listina'!D10</f>
        <v>Jílek Filip</v>
      </c>
      <c r="AC13" s="74" t="str">
        <f>'Vážní listina'!E10</f>
        <v>Čech.</v>
      </c>
      <c r="AD13" s="36" t="str">
        <f>'Tabulka kvalifikace'!Z13</f>
        <v/>
      </c>
      <c r="AE13" s="36" t="str">
        <f>'Tabulka kvalifikace'!AA13</f>
        <v/>
      </c>
      <c r="AF13" s="36" t="str">
        <f>'Tabulka kvalifikace'!AB13</f>
        <v/>
      </c>
      <c r="AG13" s="128">
        <f>'Vážní listina'!H10</f>
        <v>37.9</v>
      </c>
      <c r="AK13" s="203"/>
      <c r="AL13" s="405"/>
      <c r="AM13" s="412"/>
      <c r="AN13" s="34"/>
      <c r="AO13" s="35"/>
      <c r="AQ13" s="290"/>
      <c r="AR13" s="484"/>
      <c r="AS13" s="45"/>
      <c r="AT13" s="45"/>
      <c r="AV13" s="410">
        <f>N14</f>
        <v>10</v>
      </c>
      <c r="AW13" s="334"/>
      <c r="AX13" s="27"/>
      <c r="AY13" s="28"/>
      <c r="AZ13" s="173"/>
      <c r="BC13" s="36">
        <f t="shared" si="0"/>
        <v>0</v>
      </c>
      <c r="BD13" s="36" t="str">
        <f t="shared" si="1"/>
        <v/>
      </c>
      <c r="BE13" s="36">
        <f t="shared" si="2"/>
        <v>0</v>
      </c>
      <c r="BF13" s="1">
        <f t="shared" si="3"/>
        <v>0</v>
      </c>
      <c r="BS13" s="410"/>
      <c r="BT13" s="334"/>
      <c r="BU13" s="29">
        <f>'Tabulka kvalifikace'!FV82</f>
        <v>0</v>
      </c>
      <c r="BV13" s="30"/>
      <c r="BW13" s="334"/>
      <c r="BX13" s="29" t="str">
        <f>'Tabulka kvalifikace'!FY82</f>
        <v/>
      </c>
      <c r="BY13" s="30"/>
      <c r="BZ13" s="411"/>
      <c r="CA13" s="29">
        <f>'Tabulka kvalifikace'!GB82</f>
        <v>0</v>
      </c>
      <c r="CB13" s="30"/>
      <c r="CV13" s="36"/>
      <c r="CW13" s="36"/>
      <c r="CX13" s="36"/>
      <c r="CY13" s="36"/>
      <c r="CZ13" s="36"/>
      <c r="DI13" s="36"/>
      <c r="DM13" s="128"/>
      <c r="DN13" s="128"/>
      <c r="DO13" s="36"/>
      <c r="DP13" s="36"/>
      <c r="DR13" s="130"/>
      <c r="DT13" s="36"/>
      <c r="DV13" s="36"/>
      <c r="EN13" s="135"/>
    </row>
    <row r="14" spans="1:144" ht="14.25" customHeight="1" thickBot="1" x14ac:dyDescent="0.3">
      <c r="A14" s="418" t="str">
        <f>IF('Tabulka kvalifikace'!AC5="","",(IF(D14="","",(INDEX($AB$10:$AB$41,D14)))))</f>
        <v>MÍSAŘ Filip</v>
      </c>
      <c r="B14" s="419" t="str">
        <f>IF('Tabulka kvalifikace'!AC5="","",(IF(D14="","",(INDEX($AC$10:$AC$41,D14)))))</f>
        <v>H.Brod</v>
      </c>
      <c r="C14" s="420"/>
      <c r="D14" s="404">
        <f>IF('Tabulka kvalifikace'!AC5="","",('Tabulka kvalifikace'!FS83))</f>
        <v>3</v>
      </c>
      <c r="E14" s="334" t="str">
        <f>IF('Tabulka kvalifikace'!AC5="","",('Tabulka kvalifikace'!FT83))</f>
        <v>VL</v>
      </c>
      <c r="F14" s="26" t="str">
        <f>IF(AN14="",BU14,AN14)</f>
        <v/>
      </c>
      <c r="G14" s="33"/>
      <c r="H14" s="334">
        <f>IF('Tabulka kvalifikace'!AC5="","",('Tabulka kvalifikace'!FW83))</f>
        <v>1</v>
      </c>
      <c r="I14" s="26">
        <f>IF(D14="","",IF(AS14="",BX14,AS14))</f>
        <v>5</v>
      </c>
      <c r="J14" s="33"/>
      <c r="K14" s="411">
        <f>IF('Tabulka kvalifikace'!AC5="","",('Tabulka kvalifikace'!FZ83))</f>
        <v>2</v>
      </c>
      <c r="L14" s="26">
        <f>IF(D14="","",IF(AX14="",CA14,AX14))</f>
        <v>5</v>
      </c>
      <c r="M14" s="33"/>
      <c r="N14" s="423">
        <f>BF14</f>
        <v>10</v>
      </c>
      <c r="O14" s="425">
        <f>IF('Tabulka kvalifikace'!AC5="","",('Tabulka kvalifikace'!GE83))</f>
        <v>8</v>
      </c>
      <c r="P14" s="421">
        <f>BK14</f>
        <v>0</v>
      </c>
      <c r="Q14" s="328" t="str">
        <f>IF(D14="","",IF($Q$8="","",(IF('Tabulka kvalifikace'!AC5="","",(DG14)))))</f>
        <v>FI</v>
      </c>
      <c r="S14" s="56"/>
      <c r="T14" s="56"/>
      <c r="U14" s="294">
        <f>IF($Q$8="","",(IF('Tabulka kvalifikace'!AC5="","",(DH14))))</f>
        <v>1</v>
      </c>
      <c r="AA14" s="1">
        <f t="shared" si="5"/>
        <v>5</v>
      </c>
      <c r="AB14" s="74" t="str">
        <f>'Vážní listina'!D11</f>
        <v>Uhliarik Max</v>
      </c>
      <c r="AC14" s="74" t="str">
        <f>'Vážní listina'!E11</f>
        <v>Nitra</v>
      </c>
      <c r="AD14" s="36" t="str">
        <f>'Tabulka kvalifikace'!Z15</f>
        <v/>
      </c>
      <c r="AE14" s="36" t="str">
        <f>'Tabulka kvalifikace'!AA15</f>
        <v/>
      </c>
      <c r="AF14" s="36" t="str">
        <f>'Tabulka kvalifikace'!AB15</f>
        <v/>
      </c>
      <c r="AG14" s="128">
        <f>'Vážní listina'!H11</f>
        <v>38.799999999999997</v>
      </c>
      <c r="AK14" s="203"/>
      <c r="AQ14" s="485" t="str">
        <f>IF(D14="","",'Tabulka kvalifikace'!GF121)</f>
        <v>xxx</v>
      </c>
      <c r="AR14" s="486" t="str">
        <f>AQ10</f>
        <v>xxx</v>
      </c>
      <c r="AS14" s="26"/>
      <c r="AT14" s="33"/>
      <c r="AV14" s="404" t="str">
        <f>IF(D14="","",'Tabulka kvalifikace'!GJ121)</f>
        <v>xxx</v>
      </c>
      <c r="AW14" s="414" t="str">
        <f>AV12</f>
        <v>xxx</v>
      </c>
      <c r="AX14" s="31"/>
      <c r="AY14" s="32"/>
      <c r="AZ14" s="173"/>
      <c r="BC14" s="36" t="str">
        <f t="shared" si="0"/>
        <v/>
      </c>
      <c r="BD14" s="36">
        <f t="shared" si="1"/>
        <v>5</v>
      </c>
      <c r="BE14" s="36">
        <f t="shared" si="2"/>
        <v>5</v>
      </c>
      <c r="BF14" s="1">
        <f t="shared" si="3"/>
        <v>10</v>
      </c>
      <c r="BH14" s="1">
        <f>G14</f>
        <v>0</v>
      </c>
      <c r="BI14" s="1">
        <f>J14</f>
        <v>0</v>
      </c>
      <c r="BJ14" s="1">
        <f>M14</f>
        <v>0</v>
      </c>
      <c r="BK14" s="1">
        <f>SUM(BH14:BJ14)</f>
        <v>0</v>
      </c>
      <c r="BS14" s="404">
        <f>D14</f>
        <v>3</v>
      </c>
      <c r="BT14" s="334" t="str">
        <f>'Tabulka kvalifikace'!FT83</f>
        <v>VL</v>
      </c>
      <c r="BU14" s="31" t="str">
        <f>'Tabulka kvalifikace'!FU83</f>
        <v/>
      </c>
      <c r="BV14" s="32"/>
      <c r="BW14" s="334">
        <f>'Tabulka kvalifikace'!FW83</f>
        <v>1</v>
      </c>
      <c r="BX14" s="31">
        <f>'Tabulka kvalifikace'!FX83</f>
        <v>5</v>
      </c>
      <c r="BY14" s="32"/>
      <c r="BZ14" s="411">
        <f>'Tabulka kvalifikace'!FZ83</f>
        <v>2</v>
      </c>
      <c r="CA14" s="31">
        <f>'Tabulka kvalifikace'!GA83</f>
        <v>5</v>
      </c>
      <c r="CB14" s="32"/>
      <c r="CV14" s="36"/>
      <c r="CW14" s="36"/>
      <c r="CX14" s="36"/>
      <c r="CY14" s="36"/>
      <c r="CZ14" s="36"/>
      <c r="DG14" s="36" t="str">
        <f>DE12</f>
        <v>FI</v>
      </c>
      <c r="DH14" s="36">
        <f>DC12</f>
        <v>1</v>
      </c>
      <c r="DI14" s="36"/>
      <c r="DM14" s="128"/>
      <c r="DN14" s="128"/>
      <c r="DO14" s="36"/>
      <c r="DP14" s="36"/>
      <c r="DR14" s="130"/>
      <c r="DT14" s="36"/>
      <c r="DV14" s="36"/>
      <c r="EN14" s="135"/>
    </row>
    <row r="15" spans="1:144" ht="14.25" customHeight="1" thickBot="1" x14ac:dyDescent="0.3">
      <c r="A15" s="418"/>
      <c r="B15" s="419"/>
      <c r="C15" s="420"/>
      <c r="D15" s="410"/>
      <c r="E15" s="334"/>
      <c r="F15" s="255" t="str">
        <f>IF(AN15="",BU15,AN15)</f>
        <v/>
      </c>
      <c r="G15" s="30"/>
      <c r="H15" s="334"/>
      <c r="I15" s="255">
        <f>IF(D14="","",IF(AS15="",BX15,AS15))</f>
        <v>4</v>
      </c>
      <c r="J15" s="30"/>
      <c r="K15" s="411"/>
      <c r="L15" s="255">
        <f>IF(D14="","",IF(AX15="",CA15,AX15))</f>
        <v>4</v>
      </c>
      <c r="M15" s="30"/>
      <c r="N15" s="424"/>
      <c r="O15" s="426"/>
      <c r="P15" s="422"/>
      <c r="Q15" s="328"/>
      <c r="S15" s="56"/>
      <c r="T15" s="56"/>
      <c r="U15" s="294"/>
      <c r="AA15" s="1">
        <f t="shared" si="5"/>
        <v>6</v>
      </c>
      <c r="AB15" s="74" t="str">
        <f>'Vážní listina'!D12</f>
        <v>Novosadová Natália</v>
      </c>
      <c r="AC15" s="74" t="str">
        <f>'Vážní listina'!E12</f>
        <v>Nitra</v>
      </c>
      <c r="AD15" s="36" t="str">
        <f>'Tabulka kvalifikace'!Z17</f>
        <v/>
      </c>
      <c r="AE15" s="36" t="str">
        <f>'Tabulka kvalifikace'!AA17</f>
        <v/>
      </c>
      <c r="AF15" s="36" t="str">
        <f>'Tabulka kvalifikace'!AB17</f>
        <v/>
      </c>
      <c r="AG15" s="128">
        <f>'Vážní listina'!H12</f>
        <v>37.799999999999997</v>
      </c>
      <c r="AK15" s="203"/>
      <c r="AQ15" s="405"/>
      <c r="AR15" s="412"/>
      <c r="AS15" s="34"/>
      <c r="AT15" s="35"/>
      <c r="AV15" s="405"/>
      <c r="AW15" s="412"/>
      <c r="AX15" s="34"/>
      <c r="AY15" s="35"/>
      <c r="AZ15" s="173"/>
      <c r="BC15" s="36" t="str">
        <f t="shared" si="0"/>
        <v/>
      </c>
      <c r="BD15" s="36">
        <f t="shared" si="1"/>
        <v>4</v>
      </c>
      <c r="BE15" s="36">
        <f t="shared" si="2"/>
        <v>4</v>
      </c>
      <c r="BF15" s="1">
        <f t="shared" si="3"/>
        <v>8</v>
      </c>
      <c r="BS15" s="405"/>
      <c r="BT15" s="412"/>
      <c r="BU15" s="34" t="str">
        <f>'Tabulka kvalifikace'!FV83</f>
        <v/>
      </c>
      <c r="BV15" s="35"/>
      <c r="BW15" s="412"/>
      <c r="BX15" s="34">
        <f>'Tabulka kvalifikace'!FY83</f>
        <v>4</v>
      </c>
      <c r="BY15" s="35"/>
      <c r="BZ15" s="413"/>
      <c r="CA15" s="34">
        <f>'Tabulka kvalifikace'!GB83</f>
        <v>4</v>
      </c>
      <c r="CB15" s="35"/>
      <c r="CV15" s="36"/>
      <c r="CW15" s="36"/>
      <c r="CX15" s="36"/>
      <c r="CY15" s="36"/>
      <c r="CZ15" s="36"/>
      <c r="DI15" s="36"/>
      <c r="DM15" s="128"/>
      <c r="DN15" s="128"/>
      <c r="DO15" s="36"/>
      <c r="DP15" s="36"/>
      <c r="DR15" s="130"/>
      <c r="DT15" s="36"/>
      <c r="DV15" s="36"/>
      <c r="EN15" s="135"/>
    </row>
    <row r="16" spans="1:144" ht="14.25" hidden="1" customHeight="1" thickBot="1" x14ac:dyDescent="0.3">
      <c r="A16" s="418" t="str">
        <f>IF(D16="","",(INDEX($AB$10:$AB$41,D16)))</f>
        <v/>
      </c>
      <c r="B16" s="419" t="str">
        <f>IF(D16="","",(INDEX($AC$10:$AC$41,D16)))</f>
        <v/>
      </c>
      <c r="C16" s="420"/>
      <c r="D16" s="404"/>
      <c r="E16" s="334"/>
      <c r="F16" s="26"/>
      <c r="G16" s="33"/>
      <c r="H16" s="334"/>
      <c r="I16" s="26"/>
      <c r="J16" s="33"/>
      <c r="K16" s="411" t="e">
        <f>IF('Tabulka kvalifikace'!$Z$3=0,"",(IF($AG$6=1,(IF(#REF!="","",#REF!)),(IF(#REF!="","",#REF!)))))</f>
        <v>#REF!</v>
      </c>
      <c r="L16" s="26"/>
      <c r="M16" s="33"/>
      <c r="N16" s="338" t="str">
        <f>IF(D16="","",(F16+I16+L16+S16))</f>
        <v/>
      </c>
      <c r="O16" s="335" t="str">
        <f>IF(D16="","",(F17+I17+L17+T16))</f>
        <v/>
      </c>
      <c r="P16" s="336" t="str">
        <f>IF(D16="","",(G16+J16+M16+U16))</f>
        <v/>
      </c>
      <c r="Q16" s="328" t="str">
        <f>IF(D16="","",(INDEX('Tabulka kvalifikace'!#REF!,D16)))</f>
        <v/>
      </c>
      <c r="S16" s="56"/>
      <c r="T16" s="56"/>
      <c r="U16" s="56"/>
      <c r="AA16" s="1">
        <f t="shared" si="5"/>
        <v>7</v>
      </c>
      <c r="AB16" s="74">
        <f>'Vážní listina'!D13</f>
        <v>0</v>
      </c>
      <c r="AC16" s="74">
        <f>'Vážní listina'!E13</f>
        <v>0</v>
      </c>
      <c r="AD16" s="36" t="str">
        <f>'Tabulka kvalifikace'!Z19</f>
        <v/>
      </c>
      <c r="AE16" s="36" t="str">
        <f>'Tabulka kvalifikace'!AA19</f>
        <v/>
      </c>
      <c r="AF16" s="36" t="str">
        <f>'Tabulka kvalifikace'!AB19</f>
        <v/>
      </c>
      <c r="AG16" s="128">
        <f>'Vážní listina'!H13</f>
        <v>0</v>
      </c>
      <c r="AK16" s="203"/>
      <c r="AZ16" s="173"/>
      <c r="CV16" s="36"/>
      <c r="CW16" s="36"/>
      <c r="CX16" s="36"/>
      <c r="CY16" s="36"/>
      <c r="CZ16" s="36"/>
      <c r="DI16" s="36"/>
      <c r="DM16" s="128"/>
      <c r="DN16" s="128"/>
      <c r="DO16" s="36"/>
      <c r="DP16" s="36"/>
      <c r="DR16" s="130"/>
      <c r="DT16" s="36"/>
      <c r="DV16" s="36"/>
      <c r="EN16" s="135"/>
    </row>
    <row r="17" spans="1:144" ht="14.25" hidden="1" customHeight="1" thickBot="1" x14ac:dyDescent="0.3">
      <c r="A17" s="432"/>
      <c r="B17" s="433"/>
      <c r="C17" s="434"/>
      <c r="D17" s="405"/>
      <c r="E17" s="412"/>
      <c r="F17" s="29"/>
      <c r="G17" s="30"/>
      <c r="H17" s="412"/>
      <c r="I17" s="29"/>
      <c r="J17" s="30"/>
      <c r="K17" s="413"/>
      <c r="L17" s="29"/>
      <c r="M17" s="30"/>
      <c r="N17" s="480"/>
      <c r="O17" s="416"/>
      <c r="P17" s="417"/>
      <c r="Q17" s="481"/>
      <c r="S17" s="56"/>
      <c r="T17" s="56"/>
      <c r="U17" s="56"/>
      <c r="AA17" s="1">
        <f t="shared" si="5"/>
        <v>8</v>
      </c>
      <c r="AB17" s="74">
        <f>'Vážní listina'!D14</f>
        <v>0</v>
      </c>
      <c r="AC17" s="74">
        <f>'Vážní listina'!E14</f>
        <v>0</v>
      </c>
      <c r="AD17" s="36" t="str">
        <f>'Tabulka kvalifikace'!Z21</f>
        <v/>
      </c>
      <c r="AE17" s="36" t="str">
        <f>'Tabulka kvalifikace'!AA21</f>
        <v/>
      </c>
      <c r="AF17" s="36" t="str">
        <f>'Tabulka kvalifikace'!AB21</f>
        <v/>
      </c>
      <c r="AG17" s="128">
        <f>'Vážní listina'!H14</f>
        <v>0</v>
      </c>
      <c r="AK17" s="203"/>
      <c r="AZ17" s="173"/>
      <c r="CV17" s="36"/>
      <c r="CW17" s="36"/>
      <c r="CX17" s="36"/>
      <c r="CY17" s="36"/>
      <c r="CZ17" s="36"/>
      <c r="DI17" s="36"/>
      <c r="DM17" s="128"/>
      <c r="DN17" s="128"/>
      <c r="DO17" s="36"/>
      <c r="DP17" s="36"/>
      <c r="DR17" s="130"/>
      <c r="DT17" s="36"/>
      <c r="DV17" s="36"/>
      <c r="EN17" s="135"/>
    </row>
    <row r="18" spans="1:144" ht="14.25" customHeight="1" thickTop="1" x14ac:dyDescent="0.25">
      <c r="A18" s="46"/>
      <c r="B18" s="46"/>
      <c r="C18" s="46"/>
      <c r="D18" s="47"/>
      <c r="E18" s="48"/>
      <c r="F18" s="43"/>
      <c r="G18" s="43"/>
      <c r="H18" s="48"/>
      <c r="I18" s="43"/>
      <c r="J18" s="43"/>
      <c r="K18" s="48"/>
      <c r="L18" s="43"/>
      <c r="M18" s="43"/>
      <c r="N18" s="49"/>
      <c r="O18" s="50"/>
      <c r="P18" s="51"/>
      <c r="Q18" s="52"/>
      <c r="S18" s="56"/>
      <c r="T18" s="57"/>
      <c r="U18" s="58"/>
      <c r="AA18" s="1">
        <f t="shared" si="5"/>
        <v>9</v>
      </c>
      <c r="AB18" s="74">
        <f>'Vážní listina'!D15</f>
        <v>0</v>
      </c>
      <c r="AC18" s="74">
        <f>'Vážní listina'!E15</f>
        <v>0</v>
      </c>
      <c r="AD18" s="36" t="str">
        <f>'Tabulka kvalifikace'!Z23</f>
        <v/>
      </c>
      <c r="AE18" s="36" t="str">
        <f>'Tabulka kvalifikace'!AA23</f>
        <v/>
      </c>
      <c r="AF18" s="36" t="str">
        <f>'Tabulka kvalifikace'!AB23</f>
        <v/>
      </c>
      <c r="AG18" s="128">
        <f>'Vážní listina'!H15</f>
        <v>0</v>
      </c>
      <c r="AK18" s="203"/>
      <c r="AZ18" s="173"/>
      <c r="CV18" s="36"/>
      <c r="CW18" s="36"/>
      <c r="CX18" s="36"/>
      <c r="CY18" s="36"/>
      <c r="CZ18" s="36"/>
      <c r="DI18" s="36"/>
      <c r="DN18" s="128"/>
      <c r="DO18" s="36"/>
      <c r="DP18" s="36"/>
      <c r="DQ18"/>
      <c r="DV18" s="36"/>
    </row>
    <row r="19" spans="1:144" ht="15.75" customHeight="1" x14ac:dyDescent="0.25">
      <c r="A19" s="292" t="str">
        <f>CONCATENATE([1]List1!$A$22)</f>
        <v>Repasáž - dolní větev</v>
      </c>
      <c r="B19" s="292"/>
      <c r="C19" s="292"/>
      <c r="D19" s="292"/>
      <c r="E19" s="292"/>
      <c r="F19" s="292"/>
      <c r="G19" s="292"/>
      <c r="H19" s="292"/>
      <c r="I19" s="292"/>
      <c r="J19" s="292"/>
      <c r="K19" s="292"/>
      <c r="L19" s="292"/>
      <c r="M19" s="292"/>
      <c r="N19" s="292"/>
      <c r="O19" s="292"/>
      <c r="P19" s="292"/>
      <c r="Q19" s="292"/>
      <c r="S19" s="73"/>
      <c r="T19" s="73"/>
      <c r="U19" s="73"/>
      <c r="AA19" s="1">
        <f t="shared" si="5"/>
        <v>10</v>
      </c>
      <c r="AB19" s="74">
        <f>'Vážní listina'!D16</f>
        <v>0</v>
      </c>
      <c r="AC19" s="74">
        <f>'Vážní listina'!E16</f>
        <v>0</v>
      </c>
      <c r="AD19" s="36" t="str">
        <f>'Tabulka kvalifikace'!Z25</f>
        <v/>
      </c>
      <c r="AE19" s="36" t="str">
        <f>'Tabulka kvalifikace'!AA25</f>
        <v/>
      </c>
      <c r="AF19" s="36" t="str">
        <f>'Tabulka kvalifikace'!AB25</f>
        <v/>
      </c>
      <c r="AG19" s="128">
        <f>'Vážní listina'!H16</f>
        <v>0</v>
      </c>
      <c r="AK19" s="203"/>
      <c r="AZ19" s="173"/>
      <c r="CV19" s="36"/>
      <c r="CW19" s="36"/>
      <c r="CX19" s="36"/>
      <c r="CY19" s="36"/>
      <c r="CZ19" s="36"/>
      <c r="DA19" s="128"/>
      <c r="DB19" s="128"/>
      <c r="DC19" s="128"/>
      <c r="DI19" s="36"/>
      <c r="DN19" s="128"/>
      <c r="DO19" s="36"/>
      <c r="DP19" s="36"/>
      <c r="DQ19"/>
      <c r="DR19" s="135"/>
      <c r="DV19" s="36"/>
    </row>
    <row r="20" spans="1:144" ht="14.25" customHeight="1" thickBot="1" x14ac:dyDescent="0.3">
      <c r="A20" s="53"/>
      <c r="B20" s="53"/>
      <c r="C20" s="53"/>
      <c r="D20" s="54"/>
      <c r="E20" s="55"/>
      <c r="F20" s="44"/>
      <c r="G20" s="44"/>
      <c r="H20" s="55"/>
      <c r="I20" s="44"/>
      <c r="J20" s="44"/>
      <c r="K20" s="55"/>
      <c r="L20" s="44"/>
      <c r="M20" s="44"/>
      <c r="N20" s="56"/>
      <c r="O20" s="57"/>
      <c r="P20" s="58"/>
      <c r="Q20" s="59"/>
      <c r="S20" s="56"/>
      <c r="T20" s="57"/>
      <c r="U20" s="58"/>
      <c r="AA20" s="1">
        <f t="shared" si="5"/>
        <v>11</v>
      </c>
      <c r="AB20" s="74">
        <f>'Vážní listina'!D17</f>
        <v>0</v>
      </c>
      <c r="AC20" s="74">
        <f>'Vážní listina'!E17</f>
        <v>0</v>
      </c>
      <c r="AD20" s="36" t="str">
        <f>'Tabulka kvalifikace'!Z27</f>
        <v/>
      </c>
      <c r="AE20" s="36" t="str">
        <f>'Tabulka kvalifikace'!AA27</f>
        <v/>
      </c>
      <c r="AF20" s="36" t="str">
        <f>'Tabulka kvalifikace'!AB27</f>
        <v/>
      </c>
      <c r="AG20" s="128">
        <f>'Vážní listina'!H17</f>
        <v>0</v>
      </c>
      <c r="AK20" s="203"/>
      <c r="AY20" s="56"/>
      <c r="AZ20" s="257"/>
      <c r="BA20" s="56"/>
      <c r="BB20" s="56"/>
      <c r="BC20" s="56"/>
      <c r="BD20" s="56"/>
      <c r="BE20" s="63"/>
      <c r="BF20" s="124"/>
      <c r="BG20" s="124"/>
      <c r="BH20" s="124"/>
      <c r="BI20" s="124"/>
      <c r="BJ20" s="124"/>
      <c r="BK20" s="124"/>
      <c r="BL20" s="124"/>
      <c r="BM20" s="124"/>
      <c r="BN20" s="124"/>
      <c r="BO20" s="56"/>
      <c r="BU20" s="36" t="str">
        <f>IF(AY20="","","")</f>
        <v/>
      </c>
      <c r="CV20" s="36"/>
      <c r="CW20" s="36"/>
      <c r="CX20" s="36"/>
      <c r="CY20" s="36"/>
      <c r="CZ20" s="36"/>
      <c r="DI20" s="36"/>
      <c r="DN20" s="128"/>
      <c r="DO20" s="36"/>
      <c r="DP20" s="36"/>
      <c r="DQ20"/>
      <c r="DR20" s="135"/>
      <c r="DV20" s="36"/>
    </row>
    <row r="21" spans="1:144" ht="24.9" customHeight="1" thickTop="1" thickBot="1" x14ac:dyDescent="0.3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340" t="str">
        <f>CONCATENATE([1]List1!$A$23)</f>
        <v>1. repas</v>
      </c>
      <c r="F21" s="341"/>
      <c r="G21" s="342"/>
      <c r="H21" s="340" t="str">
        <f>CONCATENATE([1]List1!$A$24)</f>
        <v>2. repas</v>
      </c>
      <c r="I21" s="341"/>
      <c r="J21" s="342"/>
      <c r="K21" s="340" t="str">
        <f>CONCATENATE([1]List1!$A$25)</f>
        <v>3. repas</v>
      </c>
      <c r="L21" s="341"/>
      <c r="M21" s="342"/>
      <c r="N21" s="347" t="str">
        <f>CONCATENATE([1]List1!$A$17)</f>
        <v>výsledky              B   T   O</v>
      </c>
      <c r="O21" s="348"/>
      <c r="P21" s="349"/>
      <c r="Q21" s="5" t="str">
        <f>CONCATENATE([1]List1!$A$18)</f>
        <v>poř.</v>
      </c>
      <c r="S21" s="71"/>
      <c r="T21" s="71"/>
      <c r="U21" s="71"/>
      <c r="AA21" s="1">
        <f t="shared" si="5"/>
        <v>12</v>
      </c>
      <c r="AB21" s="74">
        <f>'Vážní listina'!D18</f>
        <v>0</v>
      </c>
      <c r="AC21" s="74">
        <f>'Vážní listina'!E18</f>
        <v>0</v>
      </c>
      <c r="AD21" s="36" t="str">
        <f>'Tabulka kvalifikace'!Z29</f>
        <v/>
      </c>
      <c r="AE21" s="36" t="str">
        <f>'Tabulka kvalifikace'!AA29</f>
        <v/>
      </c>
      <c r="AF21" s="36" t="str">
        <f>'Tabulka kvalifikace'!AB29</f>
        <v/>
      </c>
      <c r="AG21" s="128">
        <f>'Vážní listina'!H18</f>
        <v>0</v>
      </c>
      <c r="AK21" s="203"/>
      <c r="AL21" s="290" t="str">
        <f>E21</f>
        <v>1. repas</v>
      </c>
      <c r="AM21" s="290"/>
      <c r="AN21" s="290"/>
      <c r="AO21" s="290"/>
      <c r="AQ21" s="290" t="str">
        <f>H21</f>
        <v>2. repas</v>
      </c>
      <c r="AR21" s="290"/>
      <c r="AS21" s="290"/>
      <c r="AT21" s="290"/>
      <c r="AV21" s="288" t="str">
        <f>K21</f>
        <v>3. repas</v>
      </c>
      <c r="AW21" s="288"/>
      <c r="AX21" s="288"/>
      <c r="AY21" s="288"/>
      <c r="AZ21" s="173"/>
      <c r="CC21" s="227" t="str">
        <f>D21</f>
        <v>los</v>
      </c>
      <c r="CD21" s="408" t="str">
        <f>E21</f>
        <v>1. repas</v>
      </c>
      <c r="CE21" s="408"/>
      <c r="CF21" s="406" t="str">
        <f>H21</f>
        <v>2. repas</v>
      </c>
      <c r="CG21" s="407"/>
      <c r="CH21" s="408" t="str">
        <f>K21</f>
        <v>3. repas</v>
      </c>
      <c r="CI21" s="408"/>
      <c r="CJ21" s="222" t="str">
        <f>[1]List1!$B$28</f>
        <v>body</v>
      </c>
      <c r="CK21" s="223" t="str">
        <f>[1]List1!$B$29</f>
        <v>tech. body</v>
      </c>
      <c r="CN21" s="235" t="str">
        <f>[1]List1!$G$21</f>
        <v>lopatky</v>
      </c>
      <c r="CO21" s="236" t="str">
        <f>[1]List1!$G$22</f>
        <v>tech. přev.</v>
      </c>
      <c r="CP21" s="237" t="str">
        <f>[1]List1!$G$23</f>
        <v>body</v>
      </c>
      <c r="CS21" s="127" t="s">
        <v>6</v>
      </c>
      <c r="CU21" s="127" t="str">
        <f>CU9</f>
        <v>large</v>
      </c>
      <c r="CV21" s="36" t="s">
        <v>5</v>
      </c>
      <c r="CW21" s="36"/>
      <c r="CX21" s="36" t="str">
        <f>CC21</f>
        <v>los</v>
      </c>
      <c r="CY21" s="36"/>
      <c r="CZ21" s="36" t="s">
        <v>6</v>
      </c>
      <c r="DA21" s="36" t="str">
        <f>DA9</f>
        <v>small</v>
      </c>
      <c r="DB21" s="36" t="str">
        <f>DB9</f>
        <v>délka</v>
      </c>
      <c r="DC21" s="36" t="str">
        <f>DC9</f>
        <v>část</v>
      </c>
      <c r="DI21" s="36"/>
      <c r="DN21" s="128"/>
      <c r="DO21" s="36"/>
      <c r="DP21" s="36"/>
      <c r="DV21" s="36"/>
    </row>
    <row r="22" spans="1:144" ht="14.25" customHeight="1" thickTop="1" thickBot="1" x14ac:dyDescent="0.3">
      <c r="A22" s="435" t="str">
        <f>IF('Tabulka kvalifikace'!AC5="","",(IF(D22="","",(INDEX($AB$10:$AB$41,D22)))))</f>
        <v>Jílek Filip</v>
      </c>
      <c r="B22" s="436" t="str">
        <f>IF('Tabulka kvalifikace'!AC5="","",(IF(D22="","",(INDEX($AC$10:$AC$41,D22)))))</f>
        <v>Čech.</v>
      </c>
      <c r="C22" s="437"/>
      <c r="D22" s="409">
        <f>IF('Tabulka kvalifikace'!AC5="","",('Tabulka kvalifikace'!FS97))</f>
        <v>4</v>
      </c>
      <c r="E22" s="371">
        <f>IF('Tabulka kvalifikace'!AC5="","",('Tabulka kvalifikace'!FT97))</f>
        <v>5</v>
      </c>
      <c r="F22" s="24">
        <f>IF(D22="","",IF(AN22="",BU22,AN22))</f>
        <v>0</v>
      </c>
      <c r="G22" s="25"/>
      <c r="H22" s="371">
        <f>IF('Tabulka kvalifikace'!AC5="","",('Tabulka kvalifikace'!FW97))</f>
        <v>6</v>
      </c>
      <c r="I22" s="24">
        <f>IF(D22="","",IF(AS22="",BX22,AS22))</f>
        <v>0</v>
      </c>
      <c r="J22" s="25"/>
      <c r="K22" s="428" t="str">
        <f>IF('Tabulka kvalifikace'!AC5="","",('Tabulka kvalifikace'!FZ97))</f>
        <v>VL</v>
      </c>
      <c r="L22" s="24" t="str">
        <f>IF(AX22="",CA22,AX22)</f>
        <v/>
      </c>
      <c r="M22" s="25"/>
      <c r="N22" s="457">
        <f>BF22</f>
        <v>0</v>
      </c>
      <c r="O22" s="453">
        <f>BF23</f>
        <v>4</v>
      </c>
      <c r="P22" s="427">
        <f>BK22</f>
        <v>0</v>
      </c>
      <c r="Q22" s="388" t="str">
        <f>IF($Q$8="","",(IF('Tabulka kvalifikace'!AC5="","",(DG22))))</f>
        <v>FIII</v>
      </c>
      <c r="S22" s="56"/>
      <c r="T22" s="56"/>
      <c r="U22" s="294">
        <f>IF($Q$8="","",(IF('Tabulka kvalifikace'!AC5="","",(DH22))))</f>
        <v>3</v>
      </c>
      <c r="AA22" s="1">
        <f t="shared" si="5"/>
        <v>13</v>
      </c>
      <c r="AB22" s="74">
        <f>'Vážní listina'!D19</f>
        <v>0</v>
      </c>
      <c r="AC22" s="74">
        <f>'Vážní listina'!E19</f>
        <v>0</v>
      </c>
      <c r="AD22" s="36" t="str">
        <f>'Tabulka kvalifikace'!Z31</f>
        <v/>
      </c>
      <c r="AE22" s="36" t="str">
        <f>'Tabulka kvalifikace'!AA31</f>
        <v/>
      </c>
      <c r="AF22" s="36" t="str">
        <f>'Tabulka kvalifikace'!AB31</f>
        <v/>
      </c>
      <c r="AG22" s="128">
        <f>'Vážní listina'!H19</f>
        <v>0</v>
      </c>
      <c r="AH22" s="288"/>
      <c r="AK22" s="203"/>
      <c r="AL22" s="409" t="str">
        <f>IF(D22="","",'Tabulka kvalifikace'!GO121)</f>
        <v>xxx</v>
      </c>
      <c r="AM22" s="459" t="str">
        <f>AL24</f>
        <v>xxx</v>
      </c>
      <c r="AN22" s="24"/>
      <c r="AO22" s="25"/>
      <c r="AQ22" s="409" t="str">
        <f>IF(D22="","",'Tabulka kvalifikace'!GS121)</f>
        <v>xxx</v>
      </c>
      <c r="AR22" s="459" t="str">
        <f>IF(D22="","",AQ26)</f>
        <v>xxx</v>
      </c>
      <c r="AS22" s="24"/>
      <c r="AT22" s="25"/>
      <c r="AY22" s="53"/>
      <c r="AZ22" s="258"/>
      <c r="BC22" s="36">
        <f t="shared" ref="BC22:BC27" si="6">F22</f>
        <v>0</v>
      </c>
      <c r="BD22" s="36">
        <f t="shared" ref="BD22:BD27" si="7">I22</f>
        <v>0</v>
      </c>
      <c r="BE22" s="36" t="str">
        <f t="shared" ref="BE22:BE27" si="8">L22</f>
        <v/>
      </c>
      <c r="BF22" s="1">
        <f t="shared" ref="BF22:BF27" si="9">SUM(BC22:BE22)</f>
        <v>0</v>
      </c>
      <c r="BH22" s="1">
        <f>G22</f>
        <v>0</v>
      </c>
      <c r="BI22" s="1">
        <f>J22</f>
        <v>0</v>
      </c>
      <c r="BJ22" s="1">
        <f>M22</f>
        <v>0</v>
      </c>
      <c r="BK22" s="1">
        <f>SUM(BH22:BJ22)</f>
        <v>0</v>
      </c>
      <c r="BO22" s="53"/>
      <c r="BS22" s="409">
        <f>D22</f>
        <v>4</v>
      </c>
      <c r="BT22" s="371">
        <f>'Tabulka kvalifikace'!FT97</f>
        <v>5</v>
      </c>
      <c r="BU22" s="24">
        <f>'Tabulka kvalifikace'!FU97</f>
        <v>0</v>
      </c>
      <c r="BV22" s="25"/>
      <c r="BW22" s="371">
        <f>'Tabulka kvalifikace'!FW97</f>
        <v>6</v>
      </c>
      <c r="BX22" s="24">
        <f>'Tabulka kvalifikace'!FX97</f>
        <v>0</v>
      </c>
      <c r="BY22" s="25"/>
      <c r="BZ22" s="428" t="str">
        <f>'Tabulka kvalifikace'!FZ97</f>
        <v>VL</v>
      </c>
      <c r="CA22" s="24" t="str">
        <f>'Tabulka kvalifikace'!GA97</f>
        <v/>
      </c>
      <c r="CB22" s="25"/>
      <c r="CC22" s="228">
        <f>D22</f>
        <v>4</v>
      </c>
      <c r="CD22" s="36">
        <f>F22</f>
        <v>0</v>
      </c>
      <c r="CE22" s="36">
        <f>F23</f>
        <v>4</v>
      </c>
      <c r="CF22" s="152">
        <f>I22</f>
        <v>0</v>
      </c>
      <c r="CG22" s="153">
        <f>I23</f>
        <v>0</v>
      </c>
      <c r="CH22" s="36" t="str">
        <f>L22</f>
        <v/>
      </c>
      <c r="CI22" s="36" t="str">
        <f>L23</f>
        <v/>
      </c>
      <c r="CJ22" s="177">
        <f>N22</f>
        <v>0</v>
      </c>
      <c r="CK22" s="224">
        <f>O22</f>
        <v>4</v>
      </c>
      <c r="CN22" s="230">
        <f>IF(CD22=5,1,0)+IF(CF22=5,1,0)+IF(CH22=5,1,0)</f>
        <v>0</v>
      </c>
      <c r="CO22" s="72">
        <f>IF(CD22=4,1,0)+IF(CF22=4,1,0)+IF(CH22=4,1,0)</f>
        <v>0</v>
      </c>
      <c r="CP22" s="231">
        <f>IF(CD22=3,1,0)+IF(CF22=3,1,0)+IF(CH22=3,1,0)</f>
        <v>0</v>
      </c>
      <c r="CR22" s="36">
        <v>1</v>
      </c>
      <c r="CS22" s="127">
        <f t="shared" ref="CS22:CS24" si="10">((((((100+CJ22)*100+CK22)*10+CN22)*10+CO22)*10+CP22)*100+($CS$6-CC22))+0.01*(CC22)+0.001</f>
        <v>1000400095.041</v>
      </c>
      <c r="CU22" s="127">
        <f>LARGE($CS$22:$CS$24,CR22)</f>
        <v>1092411093.0609999</v>
      </c>
      <c r="CV22" s="36">
        <f>LEN(CU22)</f>
        <v>14</v>
      </c>
      <c r="CW22" s="36"/>
      <c r="CX22" s="36">
        <f>VALUE(MID(CU22,CV22-1,2))</f>
        <v>61</v>
      </c>
      <c r="CY22" s="36"/>
      <c r="CZ22" s="36">
        <f>100000+CX22*100+CZ3</f>
        <v>106101</v>
      </c>
      <c r="DA22" s="36">
        <f>SMALL($CZ$22:$CZ$24,CR22)</f>
        <v>104103</v>
      </c>
      <c r="DB22" s="36">
        <f>LEN(DA22)</f>
        <v>6</v>
      </c>
      <c r="DC22" s="36">
        <f>VALUE(MID(DA22,DB22-1,2))</f>
        <v>3</v>
      </c>
      <c r="DE22" s="36" t="str">
        <f>IF(DC22=$CZ$3,$DA$3,IF(DC22=$CZ$4,$DA$4,IF(DC22=$CZ$5,$DA$5,"")))</f>
        <v>FIII</v>
      </c>
      <c r="DG22" s="36" t="str">
        <f>DE22</f>
        <v>FIII</v>
      </c>
      <c r="DH22" s="36">
        <f>DC22</f>
        <v>3</v>
      </c>
      <c r="DI22" s="36"/>
      <c r="DM22" s="128"/>
      <c r="DN22" s="128"/>
      <c r="DO22" s="36"/>
      <c r="DP22" s="36"/>
      <c r="DR22" s="130"/>
      <c r="DV22" s="36"/>
    </row>
    <row r="23" spans="1:144" ht="14.25" customHeight="1" thickBot="1" x14ac:dyDescent="0.3">
      <c r="A23" s="418"/>
      <c r="B23" s="419"/>
      <c r="C23" s="420"/>
      <c r="D23" s="410"/>
      <c r="E23" s="334"/>
      <c r="F23" s="29">
        <f>IF(D22="","",IF(AN23="",BU23,AN23))</f>
        <v>4</v>
      </c>
      <c r="G23" s="28"/>
      <c r="H23" s="334"/>
      <c r="I23" s="29">
        <f>IF(D22="","",IF(AS23="",BX23,AS23))</f>
        <v>0</v>
      </c>
      <c r="J23" s="28"/>
      <c r="K23" s="411"/>
      <c r="L23" s="29" t="str">
        <f>IF(AX23="",CA23,AX23)</f>
        <v/>
      </c>
      <c r="M23" s="28"/>
      <c r="N23" s="424"/>
      <c r="O23" s="426"/>
      <c r="P23" s="422"/>
      <c r="Q23" s="328"/>
      <c r="S23" s="56"/>
      <c r="T23" s="56"/>
      <c r="U23" s="294"/>
      <c r="AA23" s="1">
        <f t="shared" si="5"/>
        <v>14</v>
      </c>
      <c r="AB23" s="74">
        <f>'Vážní listina'!D20</f>
        <v>0</v>
      </c>
      <c r="AC23" s="74">
        <f>'Vážní listina'!E20</f>
        <v>0</v>
      </c>
      <c r="AD23" s="36" t="str">
        <f>'Tabulka kvalifikace'!Z33</f>
        <v/>
      </c>
      <c r="AE23" s="36" t="str">
        <f>'Tabulka kvalifikace'!AA33</f>
        <v/>
      </c>
      <c r="AF23" s="36" t="str">
        <f>'Tabulka kvalifikace'!AB33</f>
        <v/>
      </c>
      <c r="AG23" s="128">
        <f>'Vážní listina'!H20</f>
        <v>0</v>
      </c>
      <c r="AH23" s="288"/>
      <c r="AK23" s="203"/>
      <c r="AL23" s="410">
        <f>D24</f>
        <v>5</v>
      </c>
      <c r="AM23" s="334"/>
      <c r="AN23" s="27"/>
      <c r="AO23" s="28"/>
      <c r="AQ23" s="410" t="str">
        <f>I24</f>
        <v/>
      </c>
      <c r="AR23" s="334"/>
      <c r="AS23" s="27"/>
      <c r="AT23" s="28"/>
      <c r="AY23" s="53"/>
      <c r="AZ23" s="258"/>
      <c r="BC23" s="36">
        <f t="shared" si="6"/>
        <v>4</v>
      </c>
      <c r="BD23" s="36">
        <f t="shared" si="7"/>
        <v>0</v>
      </c>
      <c r="BE23" s="36" t="str">
        <f t="shared" si="8"/>
        <v/>
      </c>
      <c r="BF23" s="1">
        <f t="shared" si="9"/>
        <v>4</v>
      </c>
      <c r="BO23" s="53"/>
      <c r="BQ23" s="125">
        <f>IF('Tabulka kvalifikace'!AC5="","",('Tabulka kvalifikace'!GD105))</f>
        <v>0</v>
      </c>
      <c r="BS23" s="410"/>
      <c r="BT23" s="334"/>
      <c r="BU23" s="27">
        <f>'Tabulka kvalifikace'!FV97</f>
        <v>4</v>
      </c>
      <c r="BV23" s="28"/>
      <c r="BW23" s="334"/>
      <c r="BX23" s="27">
        <f>'Tabulka kvalifikace'!FY97</f>
        <v>0</v>
      </c>
      <c r="BY23" s="28"/>
      <c r="BZ23" s="411"/>
      <c r="CA23" s="27" t="str">
        <f>'Tabulka kvalifikace'!GB97</f>
        <v/>
      </c>
      <c r="CB23" s="28"/>
      <c r="CC23" s="228">
        <f>D24</f>
        <v>5</v>
      </c>
      <c r="CD23" s="36">
        <f>F24</f>
        <v>5</v>
      </c>
      <c r="CE23" s="36">
        <f>F25</f>
        <v>8</v>
      </c>
      <c r="CF23" s="152" t="str">
        <f>I24</f>
        <v/>
      </c>
      <c r="CG23" s="153" t="str">
        <f>I25</f>
        <v/>
      </c>
      <c r="CH23" s="36">
        <f>L24</f>
        <v>0</v>
      </c>
      <c r="CI23" s="36">
        <f>L25</f>
        <v>0</v>
      </c>
      <c r="CJ23" s="177">
        <f>N24</f>
        <v>5</v>
      </c>
      <c r="CK23" s="224">
        <f>O24</f>
        <v>8</v>
      </c>
      <c r="CN23" s="230">
        <f>IF(CD23=5,1,0)+IF(CF23=5,1,0)+IF(CH23=5,1,0)</f>
        <v>1</v>
      </c>
      <c r="CO23" s="72">
        <f>IF(CD23=4,1,0)+IF(CF23=4,1,0)+IF(CH23=4,1,0)</f>
        <v>0</v>
      </c>
      <c r="CP23" s="231">
        <f>IF(CD23=3,1,0)+IF(CF23=3,1,0)+IF(CH23=3,1,0)</f>
        <v>0</v>
      </c>
      <c r="CR23" s="36">
        <v>2</v>
      </c>
      <c r="CS23" s="127">
        <f t="shared" si="10"/>
        <v>1050810094.051</v>
      </c>
      <c r="CU23" s="127">
        <f>LARGE($CS$22:$CS$24,CR23)</f>
        <v>1050810094.051</v>
      </c>
      <c r="CV23" s="36">
        <f>LEN(CU23)</f>
        <v>14</v>
      </c>
      <c r="CW23" s="36"/>
      <c r="CX23" s="36">
        <f>VALUE(MID(CU23,CV23-1,2))</f>
        <v>51</v>
      </c>
      <c r="CY23" s="36"/>
      <c r="CZ23" s="36">
        <f>100000+CX23*100+CZ4</f>
        <v>105102</v>
      </c>
      <c r="DA23" s="36">
        <f>SMALL($CZ$22:$CZ$24,CR23)</f>
        <v>105102</v>
      </c>
      <c r="DB23" s="36">
        <f>LEN(DA23)</f>
        <v>6</v>
      </c>
      <c r="DC23" s="36">
        <f>VALUE(MID(DA23,DB23-1,2))</f>
        <v>2</v>
      </c>
      <c r="DE23" s="36" t="str">
        <f>IF(DC23=$CZ$3,$DA$3,IF(DC23=$CZ$4,$DA$4,IF(DC23=$CZ$5,$DA$5,"")))</f>
        <v>FII</v>
      </c>
      <c r="DI23" s="36"/>
      <c r="DM23" s="128"/>
      <c r="DN23" s="128"/>
      <c r="DO23" s="36"/>
      <c r="DP23" s="36"/>
      <c r="DR23" s="130"/>
      <c r="DV23" s="36"/>
    </row>
    <row r="24" spans="1:144" ht="14.25" customHeight="1" thickTop="1" thickBot="1" x14ac:dyDescent="0.3">
      <c r="A24" s="418" t="str">
        <f>IF('Tabulka kvalifikace'!AC5="","",(IF(D24="","",(INDEX($AB$10:$AB$41,D24)))))</f>
        <v>Uhliarik Max</v>
      </c>
      <c r="B24" s="419" t="str">
        <f>IF('Tabulka kvalifikace'!AC5="","",(IF(D24="","",(INDEX($AC$10:$AC$41,D24)))))</f>
        <v>Nitra</v>
      </c>
      <c r="C24" s="420"/>
      <c r="D24" s="404">
        <f>IF('Tabulka kvalifikace'!AC5="","",('Tabulka kvalifikace'!FS98))</f>
        <v>5</v>
      </c>
      <c r="E24" s="334">
        <f>IF('Tabulka kvalifikace'!AC5="","",('Tabulka kvalifikace'!FT98))</f>
        <v>4</v>
      </c>
      <c r="F24" s="31">
        <f>IF(D24="","",IF(AN24="",BU24,AN24))</f>
        <v>5</v>
      </c>
      <c r="G24" s="32"/>
      <c r="H24" s="334" t="str">
        <f>IF('Tabulka kvalifikace'!AC5="","",('Tabulka kvalifikace'!FW98))</f>
        <v>VL</v>
      </c>
      <c r="I24" s="31" t="str">
        <f>IF(AS24="",BX24,AS24)</f>
        <v/>
      </c>
      <c r="J24" s="32"/>
      <c r="K24" s="411">
        <f>IF('Tabulka kvalifikace'!AC5="","",('Tabulka kvalifikace'!FZ98))</f>
        <v>6</v>
      </c>
      <c r="L24" s="31">
        <f>IF(D24="","",IF(AX24="",CA24,AX24))</f>
        <v>0</v>
      </c>
      <c r="M24" s="32"/>
      <c r="N24" s="423">
        <f>BF24</f>
        <v>5</v>
      </c>
      <c r="O24" s="425">
        <f>BF25</f>
        <v>8</v>
      </c>
      <c r="P24" s="421">
        <f>BK24</f>
        <v>0</v>
      </c>
      <c r="Q24" s="328" t="str">
        <f>IF($Q$8="","",(IF('Tabulka kvalifikace'!AC5="","",(DG24))))</f>
        <v>FII</v>
      </c>
      <c r="S24" s="56"/>
      <c r="T24" s="56"/>
      <c r="U24" s="294">
        <f>IF($Q$8="","",(IF('Tabulka kvalifikace'!AC5="","",(DH24))))</f>
        <v>2</v>
      </c>
      <c r="AA24" s="1">
        <f t="shared" si="5"/>
        <v>15</v>
      </c>
      <c r="AB24" s="74">
        <f>'Vážní listina'!D21</f>
        <v>0</v>
      </c>
      <c r="AC24" s="74">
        <f>'Vážní listina'!E21</f>
        <v>0</v>
      </c>
      <c r="AD24" s="36" t="str">
        <f>'Tabulka kvalifikace'!Z35</f>
        <v/>
      </c>
      <c r="AE24" s="36" t="str">
        <f>'Tabulka kvalifikace'!AA35</f>
        <v/>
      </c>
      <c r="AF24" s="36" t="str">
        <f>'Tabulka kvalifikace'!AB35</f>
        <v/>
      </c>
      <c r="AG24" s="128">
        <f>'Vážní listina'!H21</f>
        <v>0</v>
      </c>
      <c r="AK24" s="203"/>
      <c r="AL24" s="404" t="str">
        <f>IF(D24="","",'Tabulka kvalifikace'!GP121)</f>
        <v>xxx</v>
      </c>
      <c r="AM24" s="414" t="str">
        <f>IF(D24="","",AL22)</f>
        <v>xxx</v>
      </c>
      <c r="AN24" s="31"/>
      <c r="AO24" s="32"/>
      <c r="AQ24" s="415"/>
      <c r="AR24" s="483"/>
      <c r="AS24" s="43"/>
      <c r="AT24" s="43"/>
      <c r="AV24" s="409" t="str">
        <f>IF(D24="","",'Tabulka kvalifikace'!GU121)</f>
        <v>xxx</v>
      </c>
      <c r="AW24" s="459" t="str">
        <f>IF(D24="","",AV26)</f>
        <v>xxx</v>
      </c>
      <c r="AX24" s="24"/>
      <c r="AY24" s="25"/>
      <c r="AZ24" s="173"/>
      <c r="BC24" s="36">
        <f t="shared" si="6"/>
        <v>5</v>
      </c>
      <c r="BD24" s="36" t="str">
        <f t="shared" si="7"/>
        <v/>
      </c>
      <c r="BE24" s="36">
        <f t="shared" si="8"/>
        <v>0</v>
      </c>
      <c r="BF24" s="1">
        <f t="shared" si="9"/>
        <v>5</v>
      </c>
      <c r="BH24" s="1">
        <f>G24</f>
        <v>0</v>
      </c>
      <c r="BI24" s="1">
        <f>J24</f>
        <v>0</v>
      </c>
      <c r="BJ24" s="1">
        <f>M24</f>
        <v>0</v>
      </c>
      <c r="BK24" s="1">
        <f>SUM(BH24:BJ24)</f>
        <v>0</v>
      </c>
      <c r="BS24" s="404">
        <f>D24</f>
        <v>5</v>
      </c>
      <c r="BT24" s="334">
        <f>E24</f>
        <v>4</v>
      </c>
      <c r="BU24" s="31">
        <f>'Tabulka kvalifikace'!FU98</f>
        <v>5</v>
      </c>
      <c r="BV24" s="32"/>
      <c r="BW24" s="334" t="str">
        <f>'Tabulka kvalifikace'!FW98</f>
        <v>VL</v>
      </c>
      <c r="BX24" s="31" t="str">
        <f>'Tabulka kvalifikace'!FX98</f>
        <v/>
      </c>
      <c r="BY24" s="32"/>
      <c r="BZ24" s="411">
        <f>'Tabulka kvalifikace'!FZ98</f>
        <v>6</v>
      </c>
      <c r="CA24" s="31">
        <f>'Tabulka kvalifikace'!GA98</f>
        <v>0</v>
      </c>
      <c r="CB24" s="32"/>
      <c r="CC24" s="229">
        <f>D26</f>
        <v>6</v>
      </c>
      <c r="CD24" s="81" t="str">
        <f>F26</f>
        <v/>
      </c>
      <c r="CE24" s="81" t="str">
        <f>F27</f>
        <v/>
      </c>
      <c r="CF24" s="220">
        <f>I26</f>
        <v>5</v>
      </c>
      <c r="CG24" s="221">
        <f>I27</f>
        <v>12</v>
      </c>
      <c r="CH24" s="81">
        <f>L26</f>
        <v>4</v>
      </c>
      <c r="CI24" s="81">
        <f>L27</f>
        <v>12</v>
      </c>
      <c r="CJ24" s="225">
        <f>N26</f>
        <v>9</v>
      </c>
      <c r="CK24" s="226">
        <f>O26</f>
        <v>24</v>
      </c>
      <c r="CN24" s="232">
        <f>IF(CD24=5,1,0)+IF(CF24=5,1,0)+IF(CH24=5,1,0)</f>
        <v>1</v>
      </c>
      <c r="CO24" s="233">
        <f>IF(CD24=4,1,0)+IF(CF24=4,1,0)+IF(CH24=4,1,0)</f>
        <v>1</v>
      </c>
      <c r="CP24" s="234">
        <f>IF(CD24=3,1,0)+IF(CF24=3,1,0)+IF(CH24=3,1,0)</f>
        <v>0</v>
      </c>
      <c r="CR24" s="36">
        <v>3</v>
      </c>
      <c r="CS24" s="127">
        <f t="shared" si="10"/>
        <v>1092411093.0609999</v>
      </c>
      <c r="CU24" s="127">
        <f>LARGE($CS$22:$CS$24,CR24)</f>
        <v>1000400095.041</v>
      </c>
      <c r="CV24" s="36">
        <f>LEN(CU24)</f>
        <v>14</v>
      </c>
      <c r="CW24" s="36"/>
      <c r="CX24" s="36">
        <f>VALUE(MID(CU24,CV24-1,2))</f>
        <v>41</v>
      </c>
      <c r="CY24" s="36"/>
      <c r="CZ24" s="36">
        <f>100000+CX24*100+CZ5</f>
        <v>104103</v>
      </c>
      <c r="DA24" s="36">
        <f>SMALL($CZ$22:$CZ$24,CR24)</f>
        <v>106101</v>
      </c>
      <c r="DB24" s="36">
        <f>LEN(DA24)</f>
        <v>6</v>
      </c>
      <c r="DC24" s="36">
        <f>VALUE(MID(DA24,DB24-1,2))</f>
        <v>1</v>
      </c>
      <c r="DE24" s="36" t="str">
        <f>IF(DC24=$CZ$3,$DA$3,IF(DC24=$CZ$4,$DA$4,IF(DC24=$CZ$5,$DA$5,"")))</f>
        <v>FI</v>
      </c>
      <c r="DG24" s="36" t="str">
        <f>DE23</f>
        <v>FII</v>
      </c>
      <c r="DH24" s="36">
        <f>DC23</f>
        <v>2</v>
      </c>
      <c r="DI24" s="36"/>
      <c r="DM24" s="128"/>
      <c r="DN24" s="128"/>
      <c r="DO24" s="36"/>
      <c r="DP24" s="36"/>
      <c r="DR24" s="130"/>
      <c r="DV24" s="36"/>
    </row>
    <row r="25" spans="1:144" ht="14.25" customHeight="1" thickBot="1" x14ac:dyDescent="0.3">
      <c r="A25" s="418"/>
      <c r="B25" s="419"/>
      <c r="C25" s="420"/>
      <c r="D25" s="410"/>
      <c r="E25" s="334"/>
      <c r="F25" s="29">
        <f>IF(D24="","",IF(AN25="",BU25,AN25))</f>
        <v>8</v>
      </c>
      <c r="G25" s="30"/>
      <c r="H25" s="334"/>
      <c r="I25" s="29" t="str">
        <f>IF(AS25="",BX25,AS25)</f>
        <v/>
      </c>
      <c r="J25" s="30"/>
      <c r="K25" s="411"/>
      <c r="L25" s="29">
        <f>IF(D24="","",IF(AX25="",CA25,AX25))</f>
        <v>0</v>
      </c>
      <c r="M25" s="30"/>
      <c r="N25" s="424"/>
      <c r="O25" s="426"/>
      <c r="P25" s="422"/>
      <c r="Q25" s="328"/>
      <c r="S25" s="56"/>
      <c r="T25" s="56"/>
      <c r="U25" s="294"/>
      <c r="AA25" s="1">
        <f t="shared" si="5"/>
        <v>16</v>
      </c>
      <c r="AB25" s="74">
        <f>'Vážní listina'!D22</f>
        <v>0</v>
      </c>
      <c r="AC25" s="74">
        <f>'Vážní listina'!E22</f>
        <v>0</v>
      </c>
      <c r="AD25" s="36" t="str">
        <f>'Tabulka kvalifikace'!Z37</f>
        <v/>
      </c>
      <c r="AE25" s="36" t="str">
        <f>'Tabulka kvalifikace'!AA37</f>
        <v/>
      </c>
      <c r="AF25" s="36" t="str">
        <f>'Tabulka kvalifikace'!AB37</f>
        <v/>
      </c>
      <c r="AG25" s="128">
        <f>'Vážní listina'!H22</f>
        <v>0</v>
      </c>
      <c r="AK25" s="203"/>
      <c r="AL25" s="405"/>
      <c r="AM25" s="412"/>
      <c r="AN25" s="34"/>
      <c r="AO25" s="35"/>
      <c r="AQ25" s="290"/>
      <c r="AR25" s="484"/>
      <c r="AS25" s="45"/>
      <c r="AT25" s="45"/>
      <c r="AV25" s="410">
        <f>N26</f>
        <v>9</v>
      </c>
      <c r="AW25" s="334"/>
      <c r="AX25" s="27"/>
      <c r="AY25" s="28"/>
      <c r="AZ25" s="173"/>
      <c r="BC25" s="36">
        <f t="shared" si="6"/>
        <v>8</v>
      </c>
      <c r="BD25" s="36" t="str">
        <f t="shared" si="7"/>
        <v/>
      </c>
      <c r="BE25" s="36">
        <f t="shared" si="8"/>
        <v>0</v>
      </c>
      <c r="BF25" s="1">
        <f t="shared" si="9"/>
        <v>8</v>
      </c>
      <c r="BS25" s="410"/>
      <c r="BT25" s="334"/>
      <c r="BU25" s="29">
        <f>'Tabulka kvalifikace'!FV98</f>
        <v>8</v>
      </c>
      <c r="BV25" s="30"/>
      <c r="BW25" s="334"/>
      <c r="BX25" s="29" t="str">
        <f>'Tabulka kvalifikace'!FY98</f>
        <v/>
      </c>
      <c r="BY25" s="30"/>
      <c r="BZ25" s="411"/>
      <c r="CA25" s="29">
        <f>'Tabulka kvalifikace'!GB98</f>
        <v>0</v>
      </c>
      <c r="CB25" s="30"/>
      <c r="CV25" s="36"/>
      <c r="CW25" s="36"/>
      <c r="CX25" s="36"/>
      <c r="CY25" s="36"/>
      <c r="CZ25" s="36"/>
      <c r="DI25" s="36"/>
      <c r="DM25" s="128"/>
      <c r="DN25" s="128"/>
      <c r="DO25" s="36"/>
      <c r="DP25" s="36"/>
      <c r="DR25" s="130"/>
      <c r="DV25" s="36"/>
    </row>
    <row r="26" spans="1:144" ht="14.25" customHeight="1" thickBot="1" x14ac:dyDescent="0.3">
      <c r="A26" s="418" t="str">
        <f>IF('Tabulka kvalifikace'!AC5="","",(IF(D26="","",(INDEX($AB$10:$AB$41,D26)))))</f>
        <v>Novosadová Natália</v>
      </c>
      <c r="B26" s="419" t="str">
        <f>IF('Tabulka kvalifikace'!AC5="","",(IF(D26="","",INDEX($AC$10:$AC$41,D26))))</f>
        <v>Nitra</v>
      </c>
      <c r="C26" s="420"/>
      <c r="D26" s="404">
        <f>IF('Tabulka kvalifikace'!AC5="","",('Tabulka kvalifikace'!FS99))</f>
        <v>6</v>
      </c>
      <c r="E26" s="334" t="str">
        <f>IF('Tabulka kvalifikace'!AC5="","",('Tabulka kvalifikace'!FT99))</f>
        <v>VL</v>
      </c>
      <c r="F26" s="26" t="str">
        <f>IF(AN26="",BU26,AN26)</f>
        <v/>
      </c>
      <c r="G26" s="33"/>
      <c r="H26" s="334">
        <f>IF('Tabulka kvalifikace'!AC5="","",('Tabulka kvalifikace'!FW99))</f>
        <v>4</v>
      </c>
      <c r="I26" s="26">
        <f>IF(D26="","",IF(AS26="",BX26,AS26))</f>
        <v>5</v>
      </c>
      <c r="J26" s="33"/>
      <c r="K26" s="411">
        <f>IF('Tabulka kvalifikace'!AC5="","",('Tabulka kvalifikace'!FZ99))</f>
        <v>5</v>
      </c>
      <c r="L26" s="26">
        <f>IF(D26="","",IF(AX26="",CA26,AX26))</f>
        <v>4</v>
      </c>
      <c r="M26" s="33"/>
      <c r="N26" s="423">
        <f>BF26</f>
        <v>9</v>
      </c>
      <c r="O26" s="425">
        <f>BF27</f>
        <v>24</v>
      </c>
      <c r="P26" s="421">
        <f>BK26</f>
        <v>0</v>
      </c>
      <c r="Q26" s="328" t="str">
        <f>IF($Q$8="","",(IF('Tabulka kvalifikace'!AC5="","",(DG26))))</f>
        <v>FI</v>
      </c>
      <c r="S26" s="56"/>
      <c r="T26" s="56"/>
      <c r="U26" s="294">
        <f>IF($Q$8="","",(IF('Tabulka kvalifikace'!AC5="","",(DH26))))</f>
        <v>1</v>
      </c>
      <c r="AA26" s="1">
        <f t="shared" si="5"/>
        <v>17</v>
      </c>
      <c r="AB26" s="74">
        <f>'Vážní listina'!D23</f>
        <v>0</v>
      </c>
      <c r="AC26" s="74">
        <f>'Vážní listina'!E23</f>
        <v>0</v>
      </c>
      <c r="AD26" s="36">
        <f>'Tabulka kvalifikace'!Z40</f>
        <v>0</v>
      </c>
      <c r="AE26" s="36">
        <f>'Tabulka kvalifikace'!AA40</f>
        <v>4</v>
      </c>
      <c r="AF26" s="36">
        <f>'Tabulka kvalifikace'!AB40</f>
        <v>0</v>
      </c>
      <c r="AG26" s="128">
        <f>'Vážní listina'!H23</f>
        <v>0</v>
      </c>
      <c r="AK26" s="203"/>
      <c r="AQ26" s="485" t="str">
        <f>IF(D26="","",'Tabulka kvalifikace'!GR121)</f>
        <v>xxx</v>
      </c>
      <c r="AR26" s="486" t="str">
        <f>AQ22</f>
        <v>xxx</v>
      </c>
      <c r="AS26" s="26"/>
      <c r="AT26" s="33"/>
      <c r="AV26" s="404" t="str">
        <f>IF(D26="","",'Tabulka kvalifikace'!GV121)</f>
        <v>xxx</v>
      </c>
      <c r="AW26" s="414" t="str">
        <f>AV24</f>
        <v>xxx</v>
      </c>
      <c r="AX26" s="31"/>
      <c r="AY26" s="32"/>
      <c r="AZ26" s="173"/>
      <c r="BC26" s="36" t="str">
        <f t="shared" si="6"/>
        <v/>
      </c>
      <c r="BD26" s="36">
        <f t="shared" si="7"/>
        <v>5</v>
      </c>
      <c r="BE26" s="36">
        <f t="shared" si="8"/>
        <v>4</v>
      </c>
      <c r="BF26" s="1">
        <f t="shared" si="9"/>
        <v>9</v>
      </c>
      <c r="BH26" s="1">
        <f>G26</f>
        <v>0</v>
      </c>
      <c r="BI26" s="1">
        <f>J26</f>
        <v>0</v>
      </c>
      <c r="BJ26" s="1">
        <f>M26</f>
        <v>0</v>
      </c>
      <c r="BK26" s="1">
        <f>SUM(BH26:BJ26)</f>
        <v>0</v>
      </c>
      <c r="BS26" s="404">
        <f>D26</f>
        <v>6</v>
      </c>
      <c r="BT26" s="334" t="str">
        <f>E26</f>
        <v>VL</v>
      </c>
      <c r="BU26" s="31" t="str">
        <f>'Tabulka kvalifikace'!FU99</f>
        <v/>
      </c>
      <c r="BV26" s="32"/>
      <c r="BW26" s="334">
        <f>'Tabulka kvalifikace'!FW99</f>
        <v>4</v>
      </c>
      <c r="BX26" s="31">
        <f>'Tabulka kvalifikace'!FX99</f>
        <v>5</v>
      </c>
      <c r="BY26" s="32"/>
      <c r="BZ26" s="411">
        <f>'Tabulka kvalifikace'!FZ99</f>
        <v>5</v>
      </c>
      <c r="CA26" s="31">
        <f>'Tabulka kvalifikace'!GA99</f>
        <v>4</v>
      </c>
      <c r="CB26" s="32"/>
      <c r="CV26" s="36"/>
      <c r="CW26" s="36"/>
      <c r="CX26" s="36"/>
      <c r="CY26" s="36"/>
      <c r="CZ26" s="36"/>
      <c r="DG26" s="36" t="str">
        <f>DE24</f>
        <v>FI</v>
      </c>
      <c r="DH26" s="36">
        <f>DC24</f>
        <v>1</v>
      </c>
      <c r="DI26" s="36"/>
      <c r="DM26" s="128"/>
      <c r="DN26" s="128"/>
      <c r="DO26" s="36"/>
      <c r="DP26" s="36"/>
      <c r="DR26" s="130"/>
      <c r="DV26" s="36"/>
    </row>
    <row r="27" spans="1:144" ht="14.25" customHeight="1" thickBot="1" x14ac:dyDescent="0.3">
      <c r="A27" s="418"/>
      <c r="B27" s="419"/>
      <c r="C27" s="420"/>
      <c r="D27" s="410"/>
      <c r="E27" s="334"/>
      <c r="F27" s="255" t="str">
        <f>IF(AN27="",BU27,AN27)</f>
        <v/>
      </c>
      <c r="G27" s="30"/>
      <c r="H27" s="334"/>
      <c r="I27" s="255">
        <f>IF(D26="","",IF(AS27="",BX27,AS27))</f>
        <v>12</v>
      </c>
      <c r="J27" s="30"/>
      <c r="K27" s="411"/>
      <c r="L27" s="255">
        <f>IF(D26="","",IF(AX27="",CA27,AX27))</f>
        <v>12</v>
      </c>
      <c r="M27" s="30"/>
      <c r="N27" s="424"/>
      <c r="O27" s="426"/>
      <c r="P27" s="422"/>
      <c r="Q27" s="328"/>
      <c r="S27" s="56"/>
      <c r="T27" s="56"/>
      <c r="U27" s="294"/>
      <c r="AA27" s="1">
        <f t="shared" si="5"/>
        <v>18</v>
      </c>
      <c r="AB27" s="74">
        <f>'Vážní listina'!D24</f>
        <v>0</v>
      </c>
      <c r="AC27" s="74">
        <f>'Vážní listina'!E24</f>
        <v>0</v>
      </c>
      <c r="AD27" s="36">
        <f>'Tabulka kvalifikace'!Z42</f>
        <v>5</v>
      </c>
      <c r="AE27" s="36">
        <f>'Tabulka kvalifikace'!AA42</f>
        <v>8</v>
      </c>
      <c r="AF27" s="36">
        <f>'Tabulka kvalifikace'!AB42</f>
        <v>0</v>
      </c>
      <c r="AG27" s="128">
        <f>'Vážní listina'!H24</f>
        <v>0</v>
      </c>
      <c r="AK27" s="203"/>
      <c r="AQ27" s="405"/>
      <c r="AR27" s="412"/>
      <c r="AS27" s="34"/>
      <c r="AT27" s="35"/>
      <c r="AV27" s="405"/>
      <c r="AW27" s="412"/>
      <c r="AX27" s="34"/>
      <c r="AY27" s="35"/>
      <c r="AZ27" s="173"/>
      <c r="BC27" s="36" t="str">
        <f t="shared" si="6"/>
        <v/>
      </c>
      <c r="BD27" s="36">
        <f t="shared" si="7"/>
        <v>12</v>
      </c>
      <c r="BE27" s="36">
        <f t="shared" si="8"/>
        <v>12</v>
      </c>
      <c r="BF27" s="1">
        <f t="shared" si="9"/>
        <v>24</v>
      </c>
      <c r="BS27" s="405"/>
      <c r="BT27" s="412"/>
      <c r="BU27" s="34" t="str">
        <f>'Tabulka kvalifikace'!FV99</f>
        <v/>
      </c>
      <c r="BV27" s="35"/>
      <c r="BW27" s="412"/>
      <c r="BX27" s="34">
        <f>'Tabulka kvalifikace'!FY99</f>
        <v>12</v>
      </c>
      <c r="BY27" s="35"/>
      <c r="BZ27" s="413"/>
      <c r="CA27" s="34">
        <f>'Tabulka kvalifikace'!GB99</f>
        <v>12</v>
      </c>
      <c r="CB27" s="35"/>
      <c r="CV27" s="36"/>
      <c r="CW27" s="36"/>
      <c r="CX27" s="36"/>
      <c r="CY27" s="36"/>
      <c r="CZ27" s="36"/>
      <c r="DI27" s="36"/>
      <c r="DM27" s="128"/>
      <c r="DN27" s="128"/>
      <c r="DO27" s="36"/>
      <c r="DP27" s="36"/>
      <c r="DR27" s="130"/>
      <c r="DV27" s="36"/>
    </row>
    <row r="28" spans="1:144" ht="14.25" hidden="1" customHeight="1" thickBot="1" x14ac:dyDescent="0.3">
      <c r="A28" s="418" t="str">
        <f>IF(D28="","",(INDEX($AB$10:$AB$41,D28)))</f>
        <v/>
      </c>
      <c r="B28" s="419" t="str">
        <f>IF(D28="","",(INDEX($AC$10:$AC$41,D28)))</f>
        <v/>
      </c>
      <c r="C28" s="420"/>
      <c r="D28" s="404"/>
      <c r="E28" s="334"/>
      <c r="F28" s="26"/>
      <c r="G28" s="33"/>
      <c r="H28" s="334"/>
      <c r="I28" s="26"/>
      <c r="J28" s="33"/>
      <c r="K28" s="411" t="e">
        <f>IF('Tabulka kvalifikace'!$Z$3=0,"",(IF(#REF!="","",#REF!)))</f>
        <v>#REF!</v>
      </c>
      <c r="L28" s="26"/>
      <c r="M28" s="33"/>
      <c r="N28" s="338" t="str">
        <f>IF(D28="","",(F28+I28+L28+S28))</f>
        <v/>
      </c>
      <c r="O28" s="335" t="str">
        <f>IF(D28="","",(F29+I29+L29+T28))</f>
        <v/>
      </c>
      <c r="P28" s="336" t="str">
        <f>IF(D28="","",(G28+J28+M28+U28))</f>
        <v/>
      </c>
      <c r="Q28" s="328" t="str">
        <f>IF(D28="","",(INDEX('Tabulka kvalifikace'!#REF!,D28)))</f>
        <v/>
      </c>
      <c r="S28" s="294" t="str">
        <f>IF(D28="","",(INDEX($AD$10:$AD$41,D28)))</f>
        <v/>
      </c>
      <c r="T28" s="294" t="str">
        <f>IF(D28="","",(INDEX($AE$10:$AE$41,D28)))</f>
        <v/>
      </c>
      <c r="U28" s="294" t="str">
        <f>IF(D28="","",(INDEX($AF$10:$AF$41,D28)))</f>
        <v/>
      </c>
      <c r="AA28" s="1">
        <f t="shared" si="5"/>
        <v>19</v>
      </c>
      <c r="AB28" s="74">
        <f>'Vážní listina'!D25</f>
        <v>0</v>
      </c>
      <c r="AC28" s="74">
        <f>'Vážní listina'!E25</f>
        <v>0</v>
      </c>
      <c r="AD28" s="36">
        <f>'Tabulka kvalifikace'!Z44</f>
        <v>9</v>
      </c>
      <c r="AE28" s="36">
        <f>'Tabulka kvalifikace'!AA44</f>
        <v>24</v>
      </c>
      <c r="AF28" s="36">
        <f>'Tabulka kvalifikace'!AB44</f>
        <v>0</v>
      </c>
      <c r="AG28" s="128">
        <f>'Vážní listina'!H25</f>
        <v>0</v>
      </c>
      <c r="AK28" s="203"/>
      <c r="AZ28" s="173"/>
      <c r="CV28" s="36"/>
      <c r="CW28" s="36"/>
      <c r="CX28" s="36"/>
      <c r="CY28" s="36"/>
      <c r="CZ28" s="36"/>
      <c r="DI28" s="36"/>
      <c r="DM28" s="128"/>
      <c r="DN28" s="128"/>
      <c r="DO28" s="36"/>
      <c r="DP28" s="36"/>
      <c r="DR28" s="130"/>
      <c r="DV28" s="36"/>
    </row>
    <row r="29" spans="1:144" ht="14.25" hidden="1" customHeight="1" thickBot="1" x14ac:dyDescent="0.3">
      <c r="A29" s="432"/>
      <c r="B29" s="433"/>
      <c r="C29" s="434"/>
      <c r="D29" s="405"/>
      <c r="E29" s="412"/>
      <c r="F29" s="29"/>
      <c r="G29" s="30"/>
      <c r="H29" s="412"/>
      <c r="I29" s="29"/>
      <c r="J29" s="30"/>
      <c r="K29" s="413"/>
      <c r="L29" s="29"/>
      <c r="M29" s="30"/>
      <c r="N29" s="480"/>
      <c r="O29" s="416"/>
      <c r="P29" s="417"/>
      <c r="Q29" s="481"/>
      <c r="S29" s="294"/>
      <c r="T29" s="294"/>
      <c r="U29" s="294"/>
      <c r="AA29" s="1">
        <f t="shared" si="5"/>
        <v>20</v>
      </c>
      <c r="AB29" s="74">
        <f>'Vážní listina'!D26</f>
        <v>0</v>
      </c>
      <c r="AC29" s="74">
        <f>'Vážní listina'!E26</f>
        <v>0</v>
      </c>
      <c r="AD29" s="36" t="str">
        <f>'Tabulka kvalifikace'!Z46</f>
        <v/>
      </c>
      <c r="AE29" s="36" t="str">
        <f>'Tabulka kvalifikace'!AA46</f>
        <v/>
      </c>
      <c r="AF29" s="36" t="str">
        <f>'Tabulka kvalifikace'!AB46</f>
        <v/>
      </c>
      <c r="AG29" s="128">
        <f>'Vážní listina'!H26</f>
        <v>0</v>
      </c>
      <c r="AK29" s="203"/>
      <c r="AZ29" s="173"/>
      <c r="CV29" s="36"/>
      <c r="CW29" s="36"/>
      <c r="CX29" s="36"/>
      <c r="CY29" s="36"/>
      <c r="CZ29" s="36"/>
      <c r="DI29" s="36"/>
      <c r="DM29" s="128"/>
      <c r="DN29" s="128"/>
      <c r="DO29" s="36"/>
      <c r="DP29" s="36"/>
      <c r="DR29" s="130"/>
      <c r="DV29" s="36"/>
    </row>
    <row r="30" spans="1:144" ht="14.25" customHeight="1" thickTop="1" thickBot="1" x14ac:dyDescent="0.3">
      <c r="A30" s="46"/>
      <c r="B30" s="46"/>
      <c r="C30" s="46"/>
      <c r="D30" s="47"/>
      <c r="E30" s="48"/>
      <c r="F30" s="43"/>
      <c r="G30" s="43"/>
      <c r="H30" s="48"/>
      <c r="I30" s="43"/>
      <c r="J30" s="43"/>
      <c r="K30" s="48"/>
      <c r="L30" s="43"/>
      <c r="M30" s="43"/>
      <c r="N30" s="49"/>
      <c r="O30" s="50"/>
      <c r="P30" s="51"/>
      <c r="Q30" s="52"/>
      <c r="S30" s="56"/>
      <c r="T30" s="57"/>
      <c r="U30" s="58"/>
      <c r="AA30" s="1">
        <f t="shared" si="5"/>
        <v>21</v>
      </c>
      <c r="AB30" s="74">
        <f>'Vážní listina'!D27</f>
        <v>0</v>
      </c>
      <c r="AC30" s="74">
        <f>'Vážní listina'!E27</f>
        <v>0</v>
      </c>
      <c r="AD30" s="36" t="str">
        <f>'Tabulka kvalifikace'!Z48</f>
        <v/>
      </c>
      <c r="AE30" s="36" t="str">
        <f>'Tabulka kvalifikace'!AA48</f>
        <v/>
      </c>
      <c r="AF30" s="36" t="str">
        <f>'Tabulka kvalifikace'!AB48</f>
        <v/>
      </c>
      <c r="AG30" s="128">
        <f>'Vážní listina'!H27</f>
        <v>0</v>
      </c>
      <c r="AK30" s="204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256"/>
      <c r="CV30" s="36"/>
      <c r="CW30" s="36"/>
      <c r="CX30" s="36"/>
      <c r="CY30" s="36"/>
      <c r="CZ30" s="36"/>
      <c r="DI30" s="36"/>
      <c r="DN30" s="128"/>
      <c r="DO30" s="36"/>
      <c r="DP30" s="36"/>
      <c r="DQ30"/>
      <c r="DV30" s="36"/>
    </row>
    <row r="31" spans="1:144" ht="14.25" hidden="1" customHeight="1" thickBot="1" x14ac:dyDescent="0.3">
      <c r="A31" s="67"/>
      <c r="B31" s="67"/>
      <c r="C31" s="67"/>
      <c r="D31" s="37"/>
      <c r="E31" s="44"/>
      <c r="F31" s="44"/>
      <c r="G31" s="44"/>
      <c r="H31" s="44"/>
      <c r="I31" s="44"/>
      <c r="J31" s="44"/>
      <c r="K31" s="44"/>
      <c r="L31" s="44"/>
      <c r="M31" s="44"/>
      <c r="N31" s="63"/>
      <c r="O31" s="64"/>
      <c r="P31" s="65"/>
      <c r="Q31" s="66"/>
      <c r="S31" s="63"/>
      <c r="T31" s="64"/>
      <c r="U31" s="65"/>
      <c r="AA31" s="1">
        <f t="shared" si="5"/>
        <v>22</v>
      </c>
      <c r="AB31" s="74">
        <f>'Vážní listina'!D28</f>
        <v>0</v>
      </c>
      <c r="AC31" s="74">
        <f>'Vážní listina'!E28</f>
        <v>0</v>
      </c>
      <c r="AD31" s="36" t="str">
        <f>'Tabulka kvalifikace'!Z50</f>
        <v/>
      </c>
      <c r="AE31" s="36" t="str">
        <f>'Tabulka kvalifikace'!AA50</f>
        <v/>
      </c>
      <c r="AF31" s="36" t="str">
        <f>'Tabulka kvalifikace'!AB50</f>
        <v/>
      </c>
      <c r="AG31" s="128">
        <f>'Vážní listina'!H28</f>
        <v>0</v>
      </c>
      <c r="CV31" s="36"/>
      <c r="CW31" s="36"/>
      <c r="CX31" s="36"/>
      <c r="CY31" s="1"/>
      <c r="DI31" s="36"/>
      <c r="DL31" s="128"/>
      <c r="DQ31"/>
      <c r="DT31" s="36" t="e">
        <f>'Tabulka kvalifikace'!#REF!</f>
        <v>#REF!</v>
      </c>
      <c r="DU31" s="36">
        <f>DU30+1</f>
        <v>1</v>
      </c>
      <c r="DV31" s="36" t="e">
        <f>'Tabulka kvalifikace'!#REF!</f>
        <v>#REF!</v>
      </c>
      <c r="EA31" s="36">
        <f t="shared" ref="EA31:EB36" si="11">EA30+1</f>
        <v>1</v>
      </c>
      <c r="EB31" s="36">
        <f t="shared" si="11"/>
        <v>1</v>
      </c>
    </row>
    <row r="32" spans="1:144" ht="14.25" customHeight="1" thickTop="1" thickBot="1" x14ac:dyDescent="0.3">
      <c r="A32" s="446" t="str">
        <f>[1]List1!$E$21</f>
        <v>Finále o 5. - 6. místo</v>
      </c>
      <c r="B32" s="446"/>
      <c r="C32" s="446"/>
      <c r="D32" s="446"/>
      <c r="E32" s="446"/>
      <c r="F32" s="446"/>
      <c r="G32" s="446"/>
      <c r="H32" s="215"/>
      <c r="I32" s="447" t="str">
        <f>[2]Soutěž!$E$7</f>
        <v>Bojovat o 5. místo</v>
      </c>
      <c r="J32" s="448"/>
      <c r="K32" s="448"/>
      <c r="L32" s="448"/>
      <c r="M32" s="448"/>
      <c r="N32" s="448"/>
      <c r="O32" s="448"/>
      <c r="P32" s="448"/>
      <c r="Q32" s="216" t="str">
        <f>IF(([2]Soutěž!$H$7)="","- - -",([2]Soutěž!$H$7))</f>
        <v>- - -</v>
      </c>
      <c r="S32" s="63"/>
      <c r="T32" s="64"/>
      <c r="U32" s="65"/>
      <c r="AA32" s="1">
        <f t="shared" si="5"/>
        <v>23</v>
      </c>
      <c r="AB32" s="74">
        <f>'Vážní listina'!D29</f>
        <v>0</v>
      </c>
      <c r="AC32" s="74">
        <f>'Vážní listina'!E29</f>
        <v>0</v>
      </c>
      <c r="AD32" s="36" t="str">
        <f>'Tabulka kvalifikace'!Z52</f>
        <v/>
      </c>
      <c r="AE32" s="36" t="str">
        <f>'Tabulka kvalifikace'!AA52</f>
        <v/>
      </c>
      <c r="AF32" s="36" t="str">
        <f>'Tabulka kvalifikace'!AB52</f>
        <v/>
      </c>
      <c r="AG32" s="128">
        <f>'Vážní listina'!H29</f>
        <v>0</v>
      </c>
      <c r="BF32" s="1" t="s">
        <v>46</v>
      </c>
      <c r="CC32" s="36">
        <f>[2]Soutěž!$H$7</f>
        <v>0</v>
      </c>
      <c r="CD32" s="36">
        <f>IF(CC32="x",IF(Q32="x","x",0),0)</f>
        <v>0</v>
      </c>
      <c r="CF32" s="200" t="str">
        <f>D34</f>
        <v>los</v>
      </c>
      <c r="CG32" s="197" t="str">
        <f>K34</f>
        <v>poř.</v>
      </c>
      <c r="CV32" s="36"/>
      <c r="CW32" s="36"/>
      <c r="CX32" s="36"/>
      <c r="CY32" s="1"/>
      <c r="DI32" s="36"/>
      <c r="DL32" s="128"/>
      <c r="DQ32"/>
      <c r="DT32" s="36"/>
      <c r="DV32" s="36"/>
      <c r="EA32" s="36">
        <f t="shared" si="11"/>
        <v>2</v>
      </c>
      <c r="EB32" s="36">
        <f t="shared" si="11"/>
        <v>2</v>
      </c>
    </row>
    <row r="33" spans="1:132" ht="14.25" customHeight="1" thickTop="1" thickBot="1" x14ac:dyDescent="0.3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44"/>
      <c r="M33" s="44"/>
      <c r="N33" s="63"/>
      <c r="O33" s="64"/>
      <c r="P33" s="65"/>
      <c r="Q33" s="66"/>
      <c r="S33" s="63"/>
      <c r="T33" s="64"/>
      <c r="U33" s="65"/>
      <c r="AA33" s="1">
        <f t="shared" si="5"/>
        <v>24</v>
      </c>
      <c r="AB33" s="74">
        <f>'Vážní listina'!D30</f>
        <v>0</v>
      </c>
      <c r="AC33" s="74">
        <f>'Vážní listina'!E30</f>
        <v>0</v>
      </c>
      <c r="AD33" s="36" t="str">
        <f>'Tabulka kvalifikace'!Z54</f>
        <v/>
      </c>
      <c r="AE33" s="36" t="str">
        <f>'Tabulka kvalifikace'!AA54</f>
        <v/>
      </c>
      <c r="AF33" s="36" t="str">
        <f>'Tabulka kvalifikace'!AB54</f>
        <v/>
      </c>
      <c r="AG33" s="128">
        <f>'Vážní listina'!H30</f>
        <v>0</v>
      </c>
      <c r="BC33" s="36" t="str">
        <f>K34</f>
        <v>poř.</v>
      </c>
      <c r="BF33" s="266">
        <f>BF35+BF36</f>
        <v>0</v>
      </c>
      <c r="BH33" s="67"/>
      <c r="CF33" s="203">
        <f>D36</f>
        <v>2</v>
      </c>
      <c r="CG33" s="173">
        <f>K36</f>
        <v>5</v>
      </c>
      <c r="CV33" s="36"/>
      <c r="CW33" s="36"/>
      <c r="CX33" s="36"/>
      <c r="CY33" s="1"/>
      <c r="DI33" s="36"/>
      <c r="DL33" s="128"/>
      <c r="DQ33"/>
      <c r="DT33" s="36"/>
      <c r="DV33" s="36"/>
      <c r="EA33" s="36">
        <f t="shared" si="11"/>
        <v>3</v>
      </c>
      <c r="EB33" s="36">
        <f t="shared" si="11"/>
        <v>3</v>
      </c>
    </row>
    <row r="34" spans="1:132" ht="14.25" customHeight="1" thickTop="1" thickBot="1" x14ac:dyDescent="0.3">
      <c r="A34" s="449" t="str">
        <f>CONCATENATE([1]List1!$B$4)</f>
        <v>příjmení a jméno</v>
      </c>
      <c r="B34" s="461" t="str">
        <f>CONCATENATE([1]List1!$B$5)</f>
        <v>oddíl</v>
      </c>
      <c r="C34" s="463"/>
      <c r="D34" s="465" t="str">
        <f>CONCATENATE([1]List1!$B$7)</f>
        <v>los</v>
      </c>
      <c r="E34" s="401" t="str">
        <f>CONCATENATE([1]List1!$A$26)</f>
        <v>finále</v>
      </c>
      <c r="F34" s="401"/>
      <c r="G34" s="402"/>
      <c r="H34" s="429" t="str">
        <f>CONCATENATE([1]List1!$A$27)</f>
        <v>výsledky</v>
      </c>
      <c r="I34" s="430"/>
      <c r="J34" s="431"/>
      <c r="K34" s="468" t="str">
        <f>CONCATENATE([1]List1!$A$18)</f>
        <v>poř.</v>
      </c>
      <c r="L34" s="469"/>
      <c r="M34" s="44"/>
      <c r="N34" s="63"/>
      <c r="O34" s="64"/>
      <c r="P34" s="65"/>
      <c r="Q34" s="66"/>
      <c r="S34" s="63"/>
      <c r="T34" s="64"/>
      <c r="U34" s="65"/>
      <c r="X34" s="1" t="str">
        <f>IF(X26="","",(IF(X26=4,IF($AA$3="",3,X26),X26)))</f>
        <v/>
      </c>
      <c r="AA34" s="1">
        <f t="shared" si="5"/>
        <v>25</v>
      </c>
      <c r="AB34" s="74">
        <f>'Vážní listina'!D31</f>
        <v>0</v>
      </c>
      <c r="AC34" s="74">
        <f>'Vážní listina'!E31</f>
        <v>0</v>
      </c>
      <c r="AD34" s="36" t="str">
        <f>'Tabulka kvalifikace'!Z56</f>
        <v/>
      </c>
      <c r="AE34" s="36" t="str">
        <f>'Tabulka kvalifikace'!AA56</f>
        <v/>
      </c>
      <c r="AF34" s="36" t="str">
        <f>'Tabulka kvalifikace'!AB56</f>
        <v/>
      </c>
      <c r="AG34" s="128">
        <f>'Vážní listina'!H31</f>
        <v>0</v>
      </c>
      <c r="BB34" s="36" t="s">
        <v>33</v>
      </c>
      <c r="BC34" s="36">
        <f>IF($Q$32="x",(IF(F36&gt;2,$AZ$149,($AZ$148))),$AZ$149)</f>
        <v>5</v>
      </c>
      <c r="BE34" s="36" t="s">
        <v>45</v>
      </c>
      <c r="BL34" s="482" t="str">
        <f>I32</f>
        <v>Bojovat o 5. místo</v>
      </c>
      <c r="BM34" s="482"/>
      <c r="BN34" s="482"/>
      <c r="BO34" s="482"/>
      <c r="BP34" s="482"/>
      <c r="BS34" s="36">
        <v>1</v>
      </c>
      <c r="BT34" s="36">
        <f t="shared" ref="BT34:BT39" si="12">F10</f>
        <v>5</v>
      </c>
      <c r="BU34" s="36">
        <f>IF(BT34="",0,1)</f>
        <v>1</v>
      </c>
      <c r="BW34" s="36">
        <f t="shared" ref="BW34:BW39" si="13">I10</f>
        <v>0</v>
      </c>
      <c r="BX34" s="36">
        <f>IF(BW34="",0,1)</f>
        <v>1</v>
      </c>
      <c r="BZ34" s="36" t="str">
        <f t="shared" ref="BZ34:BZ39" si="14">L10</f>
        <v/>
      </c>
      <c r="CA34" s="36">
        <f>IF(BZ34="",0,1)</f>
        <v>0</v>
      </c>
      <c r="CF34" s="203">
        <f>D38</f>
        <v>4</v>
      </c>
      <c r="CG34" s="173">
        <f>K38</f>
        <v>6</v>
      </c>
      <c r="CV34" s="36"/>
      <c r="CW34" s="36"/>
      <c r="CX34" s="36"/>
      <c r="CY34" s="1"/>
      <c r="DI34" s="36"/>
      <c r="DK34" s="128" t="str">
        <f>D34</f>
        <v>los</v>
      </c>
      <c r="DL34" s="128" t="s">
        <v>30</v>
      </c>
      <c r="DO34" s="130"/>
      <c r="DP34" s="130"/>
      <c r="DQ34"/>
      <c r="DT34" s="36"/>
      <c r="DV34" s="36"/>
      <c r="EA34" s="36">
        <f t="shared" si="11"/>
        <v>4</v>
      </c>
      <c r="EB34" s="36">
        <f t="shared" si="11"/>
        <v>4</v>
      </c>
    </row>
    <row r="35" spans="1:132" ht="14.25" customHeight="1" thickTop="1" thickBot="1" x14ac:dyDescent="0.3">
      <c r="A35" s="450"/>
      <c r="B35" s="462"/>
      <c r="C35" s="464"/>
      <c r="D35" s="466"/>
      <c r="E35" s="290"/>
      <c r="F35" s="290"/>
      <c r="G35" s="467"/>
      <c r="H35" s="77" t="str">
        <f>CONCATENATE([1]List1!$A$28)</f>
        <v>B</v>
      </c>
      <c r="I35" s="45" t="str">
        <f>CONCATENATE([1]List1!$A$29)</f>
        <v>T</v>
      </c>
      <c r="J35" s="70" t="str">
        <f>CONCATENATE([1]List1!$A$30)</f>
        <v>O</v>
      </c>
      <c r="K35" s="468"/>
      <c r="L35" s="469"/>
      <c r="M35" s="44"/>
      <c r="N35" s="56"/>
      <c r="O35" s="57"/>
      <c r="P35" s="58"/>
      <c r="Q35" s="59"/>
      <c r="S35" s="56"/>
      <c r="T35" s="57"/>
      <c r="U35" s="58"/>
      <c r="AA35" s="1">
        <f t="shared" si="5"/>
        <v>26</v>
      </c>
      <c r="AB35" s="74">
        <f>'Vážní listina'!D32</f>
        <v>0</v>
      </c>
      <c r="AC35" s="74">
        <f>'Vážní listina'!E32</f>
        <v>0</v>
      </c>
      <c r="AD35" s="36" t="str">
        <f>'Tabulka kvalifikace'!Z58</f>
        <v/>
      </c>
      <c r="AE35" s="36" t="str">
        <f>'Tabulka kvalifikace'!AA58</f>
        <v/>
      </c>
      <c r="AF35" s="36" t="str">
        <f>'Tabulka kvalifikace'!AB58</f>
        <v/>
      </c>
      <c r="AG35" s="128">
        <f>'Vážní listina'!H32</f>
        <v>0</v>
      </c>
      <c r="BB35" s="126">
        <f>IF(BM38=0,4,(IF(BM35=0,4,(IF(BF33&gt;=1,4,(SUM(BB36:BB39)))))))</f>
        <v>4</v>
      </c>
      <c r="BC35" s="36">
        <f>IF($Q$32="x",(IF(F38&gt;2,$AZ$149,($AZ$148))),$AZ$149)</f>
        <v>5</v>
      </c>
      <c r="BE35" s="36">
        <f>BC55</f>
        <v>0</v>
      </c>
      <c r="BF35" s="1">
        <f>IF(BE35="",0,(IF(BE35=0,0,1)))</f>
        <v>0</v>
      </c>
      <c r="BH35" s="246" t="s">
        <v>31</v>
      </c>
      <c r="BI35" s="268"/>
      <c r="BJ35" s="268"/>
      <c r="BK35" s="269"/>
      <c r="BM35" s="266">
        <f>IF(BM38=0,0,([2]Soutěž!$H$7))</f>
        <v>0</v>
      </c>
      <c r="BS35" s="36">
        <v>2</v>
      </c>
      <c r="BT35" s="36">
        <f t="shared" si="12"/>
        <v>2</v>
      </c>
      <c r="BU35" s="36">
        <f t="shared" ref="BU35:BU46" si="15">IF(BT35="",0,1)</f>
        <v>1</v>
      </c>
      <c r="BW35" s="36">
        <f t="shared" si="13"/>
        <v>0</v>
      </c>
      <c r="BX35" s="36">
        <f t="shared" ref="BX35:BX46" si="16">IF(BW35="",0,1)</f>
        <v>1</v>
      </c>
      <c r="BZ35" s="36" t="str">
        <f t="shared" si="14"/>
        <v/>
      </c>
      <c r="CA35" s="36">
        <f t="shared" ref="CA35:CA46" si="17">IF(BZ35="",0,1)</f>
        <v>0</v>
      </c>
      <c r="CF35" s="203">
        <f>D46</f>
        <v>1</v>
      </c>
      <c r="CG35" s="173">
        <f>K46</f>
        <v>3</v>
      </c>
      <c r="DH35" s="129"/>
      <c r="DV35" s="36"/>
      <c r="EA35" s="36">
        <f t="shared" si="11"/>
        <v>5</v>
      </c>
      <c r="EB35" s="36">
        <f t="shared" si="11"/>
        <v>5</v>
      </c>
    </row>
    <row r="36" spans="1:132" ht="14.25" customHeight="1" thickTop="1" thickBot="1" x14ac:dyDescent="0.3">
      <c r="A36" s="435" t="str">
        <f>IF(D36="","",(INDEX($AB$10:$AB$41,D36)))</f>
        <v xml:space="preserve">Jabłońska Natasza </v>
      </c>
      <c r="B36" s="436" t="str">
        <f>IF(D36="","",INDEX($AC$10:$AC$41,D36))</f>
        <v>ULSK</v>
      </c>
      <c r="C36" s="472"/>
      <c r="D36" s="474">
        <f>IF($U$10=3,$D$10,IF($U$12=3,$D$12,IF($U$14=3,$D$14,"")))</f>
        <v>2</v>
      </c>
      <c r="E36" s="345" t="str">
        <f>IF(BM35=0,"",(CONCATENATE(D38)))</f>
        <v/>
      </c>
      <c r="F36" s="24"/>
      <c r="G36" s="25"/>
      <c r="H36" s="457">
        <f>IF($AA$3="x",(ABS(F36)),0)</f>
        <v>0</v>
      </c>
      <c r="I36" s="453">
        <f>IF($AA$3="x",(ABS(F37)),0)</f>
        <v>0</v>
      </c>
      <c r="J36" s="455">
        <f>ABS(G36)</f>
        <v>0</v>
      </c>
      <c r="K36" s="470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471"/>
      <c r="M36" s="44"/>
      <c r="N36" s="56"/>
      <c r="O36" s="57"/>
      <c r="P36" s="58"/>
      <c r="Q36" s="59"/>
      <c r="S36" s="56"/>
      <c r="T36" s="57"/>
      <c r="U36" s="58"/>
      <c r="X36" s="1" t="str">
        <f>IF(X28="","",(IF(X28=4,IF($AA$3="",3,X28),X28)))</f>
        <v/>
      </c>
      <c r="AA36" s="1">
        <f t="shared" si="5"/>
        <v>27</v>
      </c>
      <c r="AB36" s="74">
        <f>'Vážní listina'!D33</f>
        <v>0</v>
      </c>
      <c r="AC36" s="74">
        <f>'Vážní listina'!E33</f>
        <v>0</v>
      </c>
      <c r="AD36" s="36" t="str">
        <f>'Tabulka kvalifikace'!Z60</f>
        <v/>
      </c>
      <c r="AE36" s="36" t="str">
        <f>'Tabulka kvalifikace'!AA60</f>
        <v/>
      </c>
      <c r="AF36" s="36" t="str">
        <f>'Tabulka kvalifikace'!AB60</f>
        <v/>
      </c>
      <c r="AG36" s="128">
        <f>'Vážní listina'!H33</f>
        <v>0</v>
      </c>
      <c r="BB36" s="36">
        <f>IF(F36="",0,1)</f>
        <v>0</v>
      </c>
      <c r="BC36" s="36">
        <f>AZ150</f>
        <v>4</v>
      </c>
      <c r="BE36" s="36">
        <f>BC56</f>
        <v>0</v>
      </c>
      <c r="BF36" s="1">
        <f>IF(BE36="",0,(IF(BE36=0,0,1)))</f>
        <v>0</v>
      </c>
      <c r="BS36" s="36">
        <v>3</v>
      </c>
      <c r="BT36" s="36">
        <f t="shared" si="12"/>
        <v>0</v>
      </c>
      <c r="BU36" s="36">
        <f t="shared" si="15"/>
        <v>1</v>
      </c>
      <c r="BW36" s="36" t="str">
        <f t="shared" si="13"/>
        <v/>
      </c>
      <c r="BX36" s="36">
        <f t="shared" si="16"/>
        <v>0</v>
      </c>
      <c r="BZ36" s="36">
        <f t="shared" si="14"/>
        <v>0</v>
      </c>
      <c r="CA36" s="36">
        <f t="shared" si="17"/>
        <v>1</v>
      </c>
      <c r="CF36" s="203">
        <f>D48</f>
        <v>5</v>
      </c>
      <c r="CG36" s="173">
        <f>K48</f>
        <v>4</v>
      </c>
      <c r="DK36" s="121">
        <f>D36</f>
        <v>2</v>
      </c>
      <c r="DL36" s="121">
        <f>IF(D36="","",(INDEX($EK$55:$EK$92,D36)))</f>
        <v>0</v>
      </c>
      <c r="DV36" s="36"/>
      <c r="EA36" s="36">
        <f t="shared" si="11"/>
        <v>6</v>
      </c>
      <c r="EB36" s="36">
        <f t="shared" si="11"/>
        <v>6</v>
      </c>
    </row>
    <row r="37" spans="1:132" ht="14.25" customHeight="1" thickBot="1" x14ac:dyDescent="0.3">
      <c r="A37" s="418"/>
      <c r="B37" s="419"/>
      <c r="C37" s="473"/>
      <c r="D37" s="475"/>
      <c r="E37" s="346"/>
      <c r="F37" s="27"/>
      <c r="G37" s="28"/>
      <c r="H37" s="479"/>
      <c r="I37" s="454"/>
      <c r="J37" s="456"/>
      <c r="K37" s="442"/>
      <c r="L37" s="443"/>
      <c r="M37" s="44"/>
      <c r="N37" s="56"/>
      <c r="O37" s="57"/>
      <c r="P37" s="58"/>
      <c r="Q37" s="59"/>
      <c r="S37" s="56"/>
      <c r="T37" s="57"/>
      <c r="U37" s="58"/>
      <c r="AA37" s="1">
        <f t="shared" si="5"/>
        <v>28</v>
      </c>
      <c r="AB37" s="74">
        <f>'Vážní listina'!D34</f>
        <v>0</v>
      </c>
      <c r="AC37" s="74">
        <f>'Vážní listina'!E34</f>
        <v>0</v>
      </c>
      <c r="AD37" s="36" t="str">
        <f>'Tabulka kvalifikace'!Z62</f>
        <v/>
      </c>
      <c r="AE37" s="36" t="str">
        <f>'Tabulka kvalifikace'!AA62</f>
        <v/>
      </c>
      <c r="AF37" s="36" t="str">
        <f>'Tabulka kvalifikace'!AB62</f>
        <v/>
      </c>
      <c r="AG37" s="128">
        <f>'Vážní listina'!H34</f>
        <v>0</v>
      </c>
      <c r="BB37" s="36">
        <f>IF(F37="",0,1)</f>
        <v>0</v>
      </c>
      <c r="BC37" s="36">
        <f>AZ151</f>
        <v>3</v>
      </c>
      <c r="BL37" s="482" t="str">
        <f>I42</f>
        <v>Bojovat o 3. místo</v>
      </c>
      <c r="BM37" s="482"/>
      <c r="BN37" s="482"/>
      <c r="BO37" s="482"/>
      <c r="BP37" s="482"/>
      <c r="BS37" s="36">
        <v>4</v>
      </c>
      <c r="BT37" s="36">
        <f t="shared" si="12"/>
        <v>0</v>
      </c>
      <c r="BU37" s="36">
        <f t="shared" si="15"/>
        <v>1</v>
      </c>
      <c r="BW37" s="36" t="str">
        <f t="shared" si="13"/>
        <v/>
      </c>
      <c r="BX37" s="36">
        <f t="shared" si="16"/>
        <v>0</v>
      </c>
      <c r="BZ37" s="36">
        <f t="shared" si="14"/>
        <v>0</v>
      </c>
      <c r="CA37" s="36">
        <f t="shared" si="17"/>
        <v>1</v>
      </c>
      <c r="CF37" s="203">
        <f>D56</f>
        <v>3</v>
      </c>
      <c r="CG37" s="173">
        <f>K56</f>
        <v>2</v>
      </c>
      <c r="DK37" s="122"/>
      <c r="DL37" s="267"/>
      <c r="DV37" s="36"/>
    </row>
    <row r="38" spans="1:132" ht="14.25" customHeight="1" thickBot="1" x14ac:dyDescent="0.3">
      <c r="A38" s="418" t="str">
        <f>IF(D38="","",INDEX($AB$10:$AB$41,D38))</f>
        <v>Jílek Filip</v>
      </c>
      <c r="B38" s="419" t="str">
        <f>IF(D38="","",INDEX($AC$10:$AC$41,D38))</f>
        <v>Čech.</v>
      </c>
      <c r="C38" s="476"/>
      <c r="D38" s="475">
        <f>IF($U$22=3,$D$22,IF($U$24=3,$D$24,IF($U$26=3,$D$26,"")))</f>
        <v>4</v>
      </c>
      <c r="E38" s="343" t="str">
        <f>IF(BM35=0,"",(CONCATENATE(D36)))</f>
        <v/>
      </c>
      <c r="F38" s="31"/>
      <c r="G38" s="32"/>
      <c r="H38" s="451">
        <f>IF($AA$3="x",(ABS(F38)),0)</f>
        <v>0</v>
      </c>
      <c r="I38" s="438">
        <f>IF($AA$3="x",(ABS(F39)),0)</f>
        <v>0</v>
      </c>
      <c r="J38" s="440">
        <f>ABS(G38)</f>
        <v>0</v>
      </c>
      <c r="K38" s="442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443"/>
      <c r="M38" s="44"/>
      <c r="N38" s="56"/>
      <c r="O38" s="57"/>
      <c r="P38" s="58"/>
      <c r="Q38" s="59"/>
      <c r="S38" s="56"/>
      <c r="T38" s="57"/>
      <c r="U38" s="58"/>
      <c r="AA38" s="1">
        <f t="shared" si="5"/>
        <v>29</v>
      </c>
      <c r="AB38" s="74">
        <f>'Vážní listina'!D35</f>
        <v>0</v>
      </c>
      <c r="AC38" s="74">
        <f>'Vážní listina'!E35</f>
        <v>0</v>
      </c>
      <c r="AD38" s="36" t="str">
        <f>'Tabulka kvalifikace'!Z64</f>
        <v/>
      </c>
      <c r="AE38" s="36" t="str">
        <f>'Tabulka kvalifikace'!AA64</f>
        <v/>
      </c>
      <c r="AF38" s="36" t="str">
        <f>'Tabulka kvalifikace'!AB64</f>
        <v/>
      </c>
      <c r="AG38" s="128">
        <f>'Vážní listina'!H35</f>
        <v>0</v>
      </c>
      <c r="BB38" s="36">
        <f>IF(F38="",0,1)</f>
        <v>0</v>
      </c>
      <c r="BC38" s="36">
        <f>AZ152</f>
        <v>2</v>
      </c>
      <c r="BH38" s="246" t="s">
        <v>32</v>
      </c>
      <c r="BI38" s="268"/>
      <c r="BJ38" s="268"/>
      <c r="BK38" s="269"/>
      <c r="BM38" s="266" t="str">
        <f>[2]Soutěž!$H$5</f>
        <v>x</v>
      </c>
      <c r="BS38" s="36">
        <v>5</v>
      </c>
      <c r="BT38" s="36" t="str">
        <f t="shared" si="12"/>
        <v/>
      </c>
      <c r="BU38" s="36">
        <f t="shared" si="15"/>
        <v>0</v>
      </c>
      <c r="BW38" s="36">
        <f t="shared" si="13"/>
        <v>5</v>
      </c>
      <c r="BX38" s="36">
        <f t="shared" si="16"/>
        <v>1</v>
      </c>
      <c r="BZ38" s="36">
        <f t="shared" si="14"/>
        <v>5</v>
      </c>
      <c r="CA38" s="36">
        <f t="shared" si="17"/>
        <v>1</v>
      </c>
      <c r="CF38" s="204">
        <f>D58</f>
        <v>6</v>
      </c>
      <c r="CG38" s="198">
        <f>K58</f>
        <v>1</v>
      </c>
      <c r="DK38" s="122">
        <f>D38</f>
        <v>4</v>
      </c>
      <c r="DL38" s="122">
        <f>IF(D38="","",(INDEX($EK$55:$EK$92,D38)))</f>
        <v>0</v>
      </c>
      <c r="DV38" s="36"/>
    </row>
    <row r="39" spans="1:132" ht="14.25" customHeight="1" thickBot="1" x14ac:dyDescent="0.3">
      <c r="A39" s="432"/>
      <c r="B39" s="433"/>
      <c r="C39" s="477"/>
      <c r="D39" s="478"/>
      <c r="E39" s="344"/>
      <c r="F39" s="34"/>
      <c r="G39" s="35"/>
      <c r="H39" s="452"/>
      <c r="I39" s="439"/>
      <c r="J39" s="441"/>
      <c r="K39" s="444"/>
      <c r="L39" s="445"/>
      <c r="M39" s="44"/>
      <c r="N39" s="56"/>
      <c r="O39" s="57"/>
      <c r="P39" s="58"/>
      <c r="Q39" s="59"/>
      <c r="S39" s="56"/>
      <c r="T39" s="57"/>
      <c r="U39" s="58"/>
      <c r="AA39" s="1">
        <f t="shared" si="5"/>
        <v>30</v>
      </c>
      <c r="AB39" s="74">
        <f>'Vážní listina'!D36</f>
        <v>0</v>
      </c>
      <c r="AC39" s="74">
        <f>'Vážní listina'!E36</f>
        <v>0</v>
      </c>
      <c r="AD39" s="36" t="str">
        <f>'Tabulka kvalifikace'!Z66</f>
        <v/>
      </c>
      <c r="AE39" s="36" t="str">
        <f>'Tabulka kvalifikace'!AA66</f>
        <v/>
      </c>
      <c r="AF39" s="36" t="str">
        <f>'Tabulka kvalifikace'!AB66</f>
        <v/>
      </c>
      <c r="AG39" s="128">
        <f>'Vážní listina'!H36</f>
        <v>0</v>
      </c>
      <c r="BB39" s="36">
        <f>IF(F39="",0,1)</f>
        <v>0</v>
      </c>
      <c r="BC39" s="36">
        <f>AZ153</f>
        <v>1</v>
      </c>
      <c r="BS39" s="36">
        <v>6</v>
      </c>
      <c r="BT39" s="36" t="str">
        <f t="shared" si="12"/>
        <v/>
      </c>
      <c r="BU39" s="36">
        <f t="shared" si="15"/>
        <v>0</v>
      </c>
      <c r="BW39" s="36">
        <f t="shared" si="13"/>
        <v>4</v>
      </c>
      <c r="BX39" s="36">
        <f t="shared" si="16"/>
        <v>1</v>
      </c>
      <c r="BZ39" s="36">
        <f t="shared" si="14"/>
        <v>4</v>
      </c>
      <c r="CA39" s="36">
        <f t="shared" si="17"/>
        <v>1</v>
      </c>
      <c r="DH39" s="127"/>
      <c r="DK39" s="122"/>
      <c r="DL39" s="267"/>
      <c r="DV39" s="36"/>
    </row>
    <row r="40" spans="1:132" ht="14.25" customHeight="1" thickTop="1" thickBot="1" x14ac:dyDescent="0.3">
      <c r="A40" s="53"/>
      <c r="B40" s="53"/>
      <c r="C40" s="53"/>
      <c r="D40" s="54"/>
      <c r="E40" s="55"/>
      <c r="F40" s="44"/>
      <c r="G40" s="44"/>
      <c r="H40" s="55"/>
      <c r="I40" s="44"/>
      <c r="J40" s="44"/>
      <c r="K40" s="55"/>
      <c r="L40" s="44"/>
      <c r="M40" s="44"/>
      <c r="N40" s="56"/>
      <c r="O40" s="57"/>
      <c r="P40" s="58"/>
      <c r="Q40" s="59"/>
      <c r="S40" s="56"/>
      <c r="T40" s="57"/>
      <c r="U40" s="58"/>
      <c r="AA40" s="1">
        <f t="shared" si="5"/>
        <v>31</v>
      </c>
      <c r="AB40" s="74">
        <f>'Vážní listina'!D37</f>
        <v>0</v>
      </c>
      <c r="AC40" s="74">
        <f>'Vážní listina'!E37</f>
        <v>0</v>
      </c>
      <c r="AD40" s="36" t="str">
        <f>'Tabulka kvalifikace'!Z68</f>
        <v/>
      </c>
      <c r="AE40" s="36" t="str">
        <f>'Tabulka kvalifikace'!AA68</f>
        <v/>
      </c>
      <c r="AF40" s="36" t="str">
        <f>'Tabulka kvalifikace'!AB68</f>
        <v/>
      </c>
      <c r="AG40" s="128">
        <f>'Vážní listina'!H37</f>
        <v>0</v>
      </c>
      <c r="BS40" s="36">
        <v>7</v>
      </c>
      <c r="BT40" s="36">
        <f>F22</f>
        <v>0</v>
      </c>
      <c r="BU40" s="36">
        <f t="shared" si="15"/>
        <v>1</v>
      </c>
      <c r="BW40" s="36">
        <f>I22</f>
        <v>0</v>
      </c>
      <c r="BX40" s="36">
        <f t="shared" si="16"/>
        <v>1</v>
      </c>
      <c r="BZ40" s="36" t="str">
        <f>L22</f>
        <v/>
      </c>
      <c r="CA40" s="36">
        <f t="shared" si="17"/>
        <v>0</v>
      </c>
      <c r="DK40" s="122"/>
      <c r="DL40" s="122"/>
      <c r="DV40" s="36"/>
    </row>
    <row r="41" spans="1:132" ht="14.25" hidden="1" customHeight="1" thickBot="1" x14ac:dyDescent="0.3">
      <c r="A41" s="53"/>
      <c r="B41" s="53"/>
      <c r="C41" s="53"/>
      <c r="D41" s="54"/>
      <c r="E41" s="55"/>
      <c r="F41" s="44"/>
      <c r="G41" s="44"/>
      <c r="H41" s="55"/>
      <c r="I41" s="44"/>
      <c r="J41" s="44"/>
      <c r="K41" s="55"/>
      <c r="L41" s="44"/>
      <c r="M41" s="44"/>
      <c r="N41" s="56"/>
      <c r="O41" s="57"/>
      <c r="P41" s="58"/>
      <c r="Q41" s="59"/>
      <c r="S41" s="56"/>
      <c r="T41" s="57"/>
      <c r="U41" s="58"/>
      <c r="AA41" s="1">
        <f t="shared" si="5"/>
        <v>32</v>
      </c>
      <c r="AB41" s="74">
        <f>'Vážní listina'!D38</f>
        <v>0</v>
      </c>
      <c r="AC41" s="74">
        <f>'Vážní listina'!E38</f>
        <v>0</v>
      </c>
      <c r="AD41" s="36">
        <f>'Tabulka kvalifikace'!Z69</f>
        <v>0</v>
      </c>
      <c r="AE41" s="36">
        <f>'Tabulka kvalifikace'!AA69</f>
        <v>0</v>
      </c>
      <c r="AF41" s="36">
        <f>'Tabulka kvalifikace'!AB69</f>
        <v>0</v>
      </c>
      <c r="AG41" s="128">
        <f>'Vážní listina'!H38</f>
        <v>0</v>
      </c>
      <c r="BE41" s="36">
        <f>INDEX('Tabulka kvalifikace'!$AD$40:$AD$71,BC41)</f>
        <v>0</v>
      </c>
      <c r="BU41" s="36">
        <f t="shared" si="15"/>
        <v>0</v>
      </c>
      <c r="BX41" s="36">
        <f t="shared" si="16"/>
        <v>0</v>
      </c>
      <c r="CA41" s="36">
        <f t="shared" si="17"/>
        <v>0</v>
      </c>
      <c r="DK41" s="122"/>
      <c r="DL41" s="122"/>
      <c r="DV41" s="36"/>
    </row>
    <row r="42" spans="1:132" ht="14.25" customHeight="1" thickTop="1" thickBot="1" x14ac:dyDescent="0.3">
      <c r="A42" s="446" t="str">
        <f>[1]List1!$C$21</f>
        <v>Finále o 3. - 4. místo</v>
      </c>
      <c r="B42" s="446"/>
      <c r="C42" s="446"/>
      <c r="D42" s="446"/>
      <c r="E42" s="446"/>
      <c r="F42" s="446"/>
      <c r="G42" s="446"/>
      <c r="H42" s="215"/>
      <c r="I42" s="448" t="str">
        <f>IF(CC42=0,"",([2]Soutěž!$E$5))</f>
        <v>Bojovat o 3. místo</v>
      </c>
      <c r="J42" s="448"/>
      <c r="K42" s="448"/>
      <c r="L42" s="448"/>
      <c r="M42" s="448"/>
      <c r="N42" s="448"/>
      <c r="O42" s="448"/>
      <c r="P42" s="448"/>
      <c r="Q42" s="216" t="str">
        <f>IF(([2]Soutěž!$H$5)="","- - - ",([2]Soutěž!$H$5))</f>
        <v>x</v>
      </c>
      <c r="S42" s="63"/>
      <c r="T42" s="64"/>
      <c r="U42" s="65"/>
      <c r="AB42" s="74"/>
      <c r="AC42" s="74"/>
      <c r="BS42" s="36">
        <v>8</v>
      </c>
      <c r="BT42" s="36">
        <f>F23</f>
        <v>4</v>
      </c>
      <c r="BU42" s="36">
        <f t="shared" si="15"/>
        <v>1</v>
      </c>
      <c r="BW42" s="36">
        <f>I23</f>
        <v>0</v>
      </c>
      <c r="BX42" s="36">
        <f t="shared" si="16"/>
        <v>1</v>
      </c>
      <c r="BZ42" s="36" t="str">
        <f>L23</f>
        <v/>
      </c>
      <c r="CA42" s="36">
        <f t="shared" si="17"/>
        <v>0</v>
      </c>
      <c r="CC42" s="36" t="str">
        <f>[2]Soutěž!$H$5</f>
        <v>x</v>
      </c>
      <c r="CD42" s="36" t="str">
        <f>IF(CC42="x",IF(Q42="x","x",0),0)</f>
        <v>x</v>
      </c>
      <c r="DK42" s="122"/>
      <c r="DL42" s="122"/>
      <c r="DV42" s="36"/>
    </row>
    <row r="43" spans="1:132" ht="14.25" customHeight="1" thickTop="1" thickBot="1" x14ac:dyDescent="0.3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44"/>
      <c r="M43" s="44"/>
      <c r="N43" s="63"/>
      <c r="O43" s="64"/>
      <c r="P43" s="65"/>
      <c r="Q43" s="66"/>
      <c r="S43" s="63"/>
      <c r="T43" s="64"/>
      <c r="U43" s="65"/>
      <c r="BF43" s="93" t="str">
        <f>A32</f>
        <v>Finále o 5. - 6. místo</v>
      </c>
      <c r="BK43" s="1">
        <f>IF(BB35=4,1,0)</f>
        <v>1</v>
      </c>
      <c r="BL43" s="1">
        <f>BK44*BK45</f>
        <v>1</v>
      </c>
      <c r="BS43" s="36">
        <v>9</v>
      </c>
      <c r="BT43" s="36">
        <f>F24</f>
        <v>5</v>
      </c>
      <c r="BU43" s="36">
        <f t="shared" si="15"/>
        <v>1</v>
      </c>
      <c r="BW43" s="36" t="str">
        <f>I24</f>
        <v/>
      </c>
      <c r="BX43" s="36">
        <f t="shared" si="16"/>
        <v>0</v>
      </c>
      <c r="BZ43" s="36">
        <f>L24</f>
        <v>0</v>
      </c>
      <c r="CA43" s="36">
        <f t="shared" si="17"/>
        <v>1</v>
      </c>
      <c r="DK43" s="122"/>
      <c r="DL43" s="122"/>
      <c r="DV43" s="36"/>
    </row>
    <row r="44" spans="1:132" ht="14.25" customHeight="1" thickTop="1" thickBot="1" x14ac:dyDescent="0.3">
      <c r="A44" s="449" t="str">
        <f>CONCATENATE([1]List1!$B$4)</f>
        <v>příjmení a jméno</v>
      </c>
      <c r="B44" s="461" t="str">
        <f>CONCATENATE([1]List1!$B$5)</f>
        <v>oddíl</v>
      </c>
      <c r="C44" s="463"/>
      <c r="D44" s="465" t="str">
        <f>CONCATENATE([1]List1!$B$7)</f>
        <v>los</v>
      </c>
      <c r="E44" s="401" t="str">
        <f>CONCATENATE([1]List1!$A$26)</f>
        <v>finále</v>
      </c>
      <c r="F44" s="401"/>
      <c r="G44" s="402"/>
      <c r="H44" s="429" t="str">
        <f>CONCATENATE([1]List1!$A$27)</f>
        <v>výsledky</v>
      </c>
      <c r="I44" s="430"/>
      <c r="J44" s="431"/>
      <c r="K44" s="468" t="str">
        <f>CONCATENATE([1]List1!$A$18)</f>
        <v>poř.</v>
      </c>
      <c r="L44" s="469"/>
      <c r="M44" s="44"/>
      <c r="N44" s="63"/>
      <c r="O44" s="64"/>
      <c r="P44" s="65"/>
      <c r="Q44" s="66"/>
      <c r="S44" s="63"/>
      <c r="T44" s="64"/>
      <c r="U44" s="65"/>
      <c r="AC44" s="36"/>
      <c r="BB44" s="36" t="s">
        <v>33</v>
      </c>
      <c r="BE44" s="36" t="str">
        <f>BF32</f>
        <v>suma dis.</v>
      </c>
      <c r="BF44" s="93" t="str">
        <f>A42</f>
        <v>Finále o 3. - 4. místo</v>
      </c>
      <c r="BK44" s="1">
        <f>IF(BB45=4,1,0)</f>
        <v>1</v>
      </c>
      <c r="BS44" s="36">
        <v>10</v>
      </c>
      <c r="BT44" s="36">
        <f>F25</f>
        <v>8</v>
      </c>
      <c r="BU44" s="36">
        <f t="shared" si="15"/>
        <v>1</v>
      </c>
      <c r="BW44" s="36" t="str">
        <f>I25</f>
        <v/>
      </c>
      <c r="BX44" s="36">
        <f t="shared" si="16"/>
        <v>0</v>
      </c>
      <c r="BZ44" s="36">
        <f>L25</f>
        <v>0</v>
      </c>
      <c r="CA44" s="36">
        <f t="shared" si="17"/>
        <v>1</v>
      </c>
      <c r="DK44" s="122"/>
      <c r="DL44" s="122"/>
      <c r="DV44" s="36"/>
    </row>
    <row r="45" spans="1:132" ht="14.25" customHeight="1" thickTop="1" thickBot="1" x14ac:dyDescent="0.3">
      <c r="A45" s="450"/>
      <c r="B45" s="462"/>
      <c r="C45" s="464"/>
      <c r="D45" s="466"/>
      <c r="E45" s="290"/>
      <c r="F45" s="290"/>
      <c r="G45" s="467"/>
      <c r="H45" s="77" t="str">
        <f>CONCATENATE([1]List1!$A$28)</f>
        <v>B</v>
      </c>
      <c r="I45" s="45" t="str">
        <f>CONCATENATE([1]List1!$A$29)</f>
        <v>T</v>
      </c>
      <c r="J45" s="70" t="str">
        <f>CONCATENATE([1]List1!$A$30)</f>
        <v>O</v>
      </c>
      <c r="K45" s="468"/>
      <c r="L45" s="469"/>
      <c r="M45" s="44"/>
      <c r="N45" s="56"/>
      <c r="O45" s="57"/>
      <c r="P45" s="58"/>
      <c r="Q45" s="59"/>
      <c r="S45" s="56"/>
      <c r="T45" s="57"/>
      <c r="U45" s="58"/>
      <c r="AC45" s="36"/>
      <c r="BB45" s="126">
        <f>IF(BE45&gt;=1,4,(SUM(BB46:BB49)))</f>
        <v>4</v>
      </c>
      <c r="BE45" s="266">
        <f>BE47+BE48</f>
        <v>0</v>
      </c>
      <c r="BF45" s="93" t="str">
        <f>A52</f>
        <v>Finále o 1. - 2. místo</v>
      </c>
      <c r="BK45" s="1">
        <f>IF(BK55=4,1,0)</f>
        <v>1</v>
      </c>
      <c r="BS45" s="36">
        <v>11</v>
      </c>
      <c r="BT45" s="36" t="str">
        <f>F26</f>
        <v/>
      </c>
      <c r="BU45" s="36">
        <f t="shared" si="15"/>
        <v>0</v>
      </c>
      <c r="BW45" s="36">
        <f>I26</f>
        <v>5</v>
      </c>
      <c r="BX45" s="36">
        <f t="shared" si="16"/>
        <v>1</v>
      </c>
      <c r="BZ45" s="36">
        <f>L26</f>
        <v>4</v>
      </c>
      <c r="CA45" s="36">
        <f t="shared" si="17"/>
        <v>1</v>
      </c>
      <c r="CI45" s="121" t="str">
        <f>Q32</f>
        <v>- - -</v>
      </c>
      <c r="DK45" s="122"/>
      <c r="DL45" s="122"/>
      <c r="DV45" s="36"/>
    </row>
    <row r="46" spans="1:132" ht="14.25" customHeight="1" thickTop="1" thickBot="1" x14ac:dyDescent="0.3">
      <c r="A46" s="435" t="str">
        <f>IF(D46="","",(INDEX($AB$10:$AB$41,D46)))</f>
        <v>Bělohoubek Daniel</v>
      </c>
      <c r="B46" s="436" t="str">
        <f>IF(D46="","",(INDEX($AC$10:$AC$41,D46)))</f>
        <v>Tichá</v>
      </c>
      <c r="C46" s="472"/>
      <c r="D46" s="474">
        <f>IF($U$10=2,$D$10,IF($U$12=2,$D$12,IF($U$14=2,$D$14,"")))</f>
        <v>1</v>
      </c>
      <c r="E46" s="345" t="str">
        <f>IF(BM38=0,"",(CONCATENATE(D48)))</f>
        <v>5</v>
      </c>
      <c r="F46" s="24">
        <v>5</v>
      </c>
      <c r="G46" s="25"/>
      <c r="H46" s="457">
        <f>ABS(F46)</f>
        <v>5</v>
      </c>
      <c r="I46" s="453">
        <f>ABS(F47)</f>
        <v>12</v>
      </c>
      <c r="J46" s="455">
        <f>ABS(G46)</f>
        <v>0</v>
      </c>
      <c r="K46" s="470">
        <f>IF(BK47=0,"",(IF(GA70=1,HU95,((IF($BB$45=4,(IF(A46="","",(IF(DL46=0,(IF(A46="","",(IF($CE$53=4,(IF(CD42=0,BC37,(IF(F46&gt;2,BC37,BC36)))),"")))),$ED$54)))),""))))))</f>
        <v>3</v>
      </c>
      <c r="L46" s="471"/>
      <c r="M46" s="44"/>
      <c r="N46" s="56"/>
      <c r="O46" s="57"/>
      <c r="P46" s="79"/>
      <c r="Q46" s="59"/>
      <c r="S46" s="56"/>
      <c r="T46" s="57"/>
      <c r="U46" s="79"/>
      <c r="AC46" s="36"/>
      <c r="BB46" s="36">
        <f>IF(F46="",0,1)</f>
        <v>1</v>
      </c>
      <c r="BS46" s="36">
        <v>12</v>
      </c>
      <c r="BT46" s="36" t="str">
        <f>F27</f>
        <v/>
      </c>
      <c r="BU46" s="36">
        <f t="shared" si="15"/>
        <v>0</v>
      </c>
      <c r="BW46" s="36">
        <f>I27</f>
        <v>12</v>
      </c>
      <c r="BX46" s="36">
        <f t="shared" si="16"/>
        <v>1</v>
      </c>
      <c r="BZ46" s="36">
        <f>L27</f>
        <v>12</v>
      </c>
      <c r="CA46" s="36">
        <f t="shared" si="17"/>
        <v>1</v>
      </c>
      <c r="CI46" s="122" t="str">
        <f>Q42</f>
        <v>x</v>
      </c>
      <c r="DK46" s="122">
        <f>D46</f>
        <v>1</v>
      </c>
      <c r="DL46" s="122">
        <f>IF(D46="","",(INDEX($EK$55:$EK$92,D46)))</f>
        <v>0</v>
      </c>
      <c r="DV46" s="36"/>
    </row>
    <row r="47" spans="1:132" ht="14.25" customHeight="1" thickTop="1" thickBot="1" x14ac:dyDescent="0.3">
      <c r="A47" s="418"/>
      <c r="B47" s="419"/>
      <c r="C47" s="473"/>
      <c r="D47" s="475"/>
      <c r="E47" s="346"/>
      <c r="F47" s="27">
        <v>12</v>
      </c>
      <c r="G47" s="28"/>
      <c r="H47" s="479"/>
      <c r="I47" s="454"/>
      <c r="J47" s="456"/>
      <c r="K47" s="442"/>
      <c r="L47" s="443"/>
      <c r="M47" s="44"/>
      <c r="N47" s="56"/>
      <c r="O47" s="57"/>
      <c r="P47" s="79"/>
      <c r="Q47" s="59"/>
      <c r="S47" s="56"/>
      <c r="T47" s="57"/>
      <c r="U47" s="79"/>
      <c r="AC47" s="36"/>
      <c r="BB47" s="36">
        <f>IF(F47="",0,1)</f>
        <v>1</v>
      </c>
      <c r="BD47" s="36">
        <f>BC57</f>
        <v>0</v>
      </c>
      <c r="BE47" s="1">
        <f>IF(BD47=0,0,1)</f>
        <v>0</v>
      </c>
      <c r="BI47" s="124" t="s">
        <v>34</v>
      </c>
      <c r="BK47" s="270">
        <f>BK43*BK44*BK45</f>
        <v>1</v>
      </c>
      <c r="CI47" s="122"/>
      <c r="DK47" s="122"/>
      <c r="DL47" s="267"/>
      <c r="DV47" s="36"/>
    </row>
    <row r="48" spans="1:132" ht="14.25" customHeight="1" thickBot="1" x14ac:dyDescent="0.3">
      <c r="A48" s="418" t="str">
        <f>IF(D48="","",(INDEX($AB$10:$AB$41,D48)))</f>
        <v>Uhliarik Max</v>
      </c>
      <c r="B48" s="419" t="str">
        <f>IF(D48="","",(INDEX($AC$10:$AC$41,D48)))</f>
        <v>Nitra</v>
      </c>
      <c r="C48" s="476"/>
      <c r="D48" s="475">
        <f>IF($U$22=2,$D$22,IF($U$24=2,$D$24,IF($U$26=2,$D$26,"")))</f>
        <v>5</v>
      </c>
      <c r="E48" s="343" t="str">
        <f>IF(BM38=0,"",(CONCATENATE(D46)))</f>
        <v>1</v>
      </c>
      <c r="F48" s="31">
        <v>0</v>
      </c>
      <c r="G48" s="32"/>
      <c r="H48" s="451">
        <f>ABS(F48)</f>
        <v>0</v>
      </c>
      <c r="I48" s="438">
        <f>ABS(F49)</f>
        <v>3</v>
      </c>
      <c r="J48" s="440">
        <f>ABS(G48)</f>
        <v>0</v>
      </c>
      <c r="K48" s="442">
        <f>IF(BK47=0,"",(IF(GA70=1,HU96,(IF($BB$45=4,(IF(A48="","",(IF(DL48=0,(IF(A48="","",(IF($CE$53=4,(IF(CD42=0,BC37,(IF(F48&gt;2,BC37,BC36)))),"")))),ED54)))),"")))))</f>
        <v>4</v>
      </c>
      <c r="L48" s="443"/>
      <c r="M48" s="44"/>
      <c r="N48" s="56"/>
      <c r="O48" s="57"/>
      <c r="P48" s="79"/>
      <c r="Q48" s="59"/>
      <c r="S48" s="56"/>
      <c r="T48" s="57"/>
      <c r="U48" s="79"/>
      <c r="AC48" s="36"/>
      <c r="BB48" s="36">
        <f>IF(F48="",0,1)</f>
        <v>1</v>
      </c>
      <c r="BD48" s="36">
        <f>BC58</f>
        <v>0</v>
      </c>
      <c r="BE48" s="1">
        <f>IF(BD48=0,0,1)</f>
        <v>0</v>
      </c>
      <c r="BQ48" s="36">
        <f>BU48+BX48+CA48</f>
        <v>24</v>
      </c>
      <c r="BU48" s="36">
        <f>SUM(BU34:BU46)</f>
        <v>8</v>
      </c>
      <c r="BX48" s="36">
        <f>SUM(BX34:BX46)</f>
        <v>8</v>
      </c>
      <c r="CA48" s="36">
        <f>SUM(CA34:CA46)</f>
        <v>8</v>
      </c>
      <c r="CI48" s="123">
        <f>IF(Q42="x",IF(Q32="x",3,2),1)</f>
        <v>2</v>
      </c>
      <c r="DK48" s="122">
        <f>D48</f>
        <v>5</v>
      </c>
      <c r="DL48" s="122">
        <f>IF(D48="","",(INDEX($EK$55:$EK$92,D48)))</f>
        <v>0</v>
      </c>
      <c r="DV48" s="36"/>
    </row>
    <row r="49" spans="1:145" ht="14.25" customHeight="1" thickBot="1" x14ac:dyDescent="0.3">
      <c r="A49" s="432"/>
      <c r="B49" s="433"/>
      <c r="C49" s="477"/>
      <c r="D49" s="478"/>
      <c r="E49" s="344"/>
      <c r="F49" s="34">
        <v>3</v>
      </c>
      <c r="G49" s="35"/>
      <c r="H49" s="452"/>
      <c r="I49" s="439"/>
      <c r="J49" s="441"/>
      <c r="K49" s="444"/>
      <c r="L49" s="445"/>
      <c r="M49" s="44"/>
      <c r="N49" s="56"/>
      <c r="O49" s="57"/>
      <c r="P49" s="79"/>
      <c r="Q49" s="59"/>
      <c r="S49" s="56"/>
      <c r="T49" s="57"/>
      <c r="U49" s="79"/>
      <c r="AC49" s="36"/>
      <c r="BB49" s="36">
        <f>IF(F49="",0,1)</f>
        <v>1</v>
      </c>
      <c r="BE49" s="1"/>
      <c r="DH49" s="127"/>
      <c r="DK49" s="122"/>
      <c r="DL49" s="267"/>
      <c r="DV49" s="36"/>
    </row>
    <row r="50" spans="1:145" ht="14.25" customHeight="1" thickTop="1" x14ac:dyDescent="0.25">
      <c r="A50" s="53"/>
      <c r="B50" s="53"/>
      <c r="C50" s="53"/>
      <c r="D50" s="54"/>
      <c r="E50" s="55"/>
      <c r="F50" s="44"/>
      <c r="G50" s="44"/>
      <c r="H50" s="60"/>
      <c r="I50" s="44"/>
      <c r="J50" s="44"/>
      <c r="K50" s="55"/>
      <c r="L50" s="44"/>
      <c r="M50" s="44"/>
      <c r="N50" s="56"/>
      <c r="O50" s="57"/>
      <c r="P50" s="58"/>
      <c r="Q50" s="59"/>
      <c r="S50" s="56"/>
      <c r="T50" s="57"/>
      <c r="U50" s="58"/>
      <c r="AB50" s="36"/>
      <c r="AC50" s="36"/>
      <c r="BQ50" s="126" t="str">
        <f>IF(BQ48=24,"x","")</f>
        <v>x</v>
      </c>
      <c r="CD50" s="36" t="str">
        <f>[1]List1!$G$26</f>
        <v>dis.</v>
      </c>
      <c r="DK50" s="122"/>
      <c r="DL50" s="122"/>
      <c r="DV50" s="36"/>
    </row>
    <row r="51" spans="1:145" ht="14.25" hidden="1" customHeight="1" x14ac:dyDescent="0.25">
      <c r="A51" s="53"/>
      <c r="B51" s="53"/>
      <c r="C51" s="53"/>
      <c r="D51" s="54"/>
      <c r="E51" s="55"/>
      <c r="F51" s="44"/>
      <c r="G51" s="44"/>
      <c r="H51" s="55"/>
      <c r="I51" s="44"/>
      <c r="J51" s="44"/>
      <c r="K51" s="55"/>
      <c r="L51" s="44"/>
      <c r="M51" s="44"/>
      <c r="N51" s="56"/>
      <c r="O51" s="57"/>
      <c r="P51" s="58"/>
      <c r="Q51" s="59"/>
      <c r="S51" s="56"/>
      <c r="T51" s="57"/>
      <c r="U51" s="58"/>
      <c r="AC51" s="36"/>
      <c r="DK51" s="122"/>
      <c r="DL51" s="122"/>
      <c r="DV51" s="36"/>
    </row>
    <row r="52" spans="1:145" ht="14.25" customHeight="1" thickBot="1" x14ac:dyDescent="0.3">
      <c r="A52" s="446" t="str">
        <f>[1]List1!$C$22</f>
        <v>Finále o 1. - 2. místo</v>
      </c>
      <c r="B52" s="446"/>
      <c r="C52" s="446"/>
      <c r="D52" s="446"/>
      <c r="E52" s="446"/>
      <c r="F52" s="446"/>
      <c r="G52" s="446"/>
      <c r="H52" s="215"/>
      <c r="I52" s="215"/>
      <c r="J52" s="215"/>
      <c r="K52" s="215"/>
      <c r="L52" s="44"/>
      <c r="M52" s="44"/>
      <c r="N52" s="56"/>
      <c r="O52" s="57"/>
      <c r="P52" s="58"/>
      <c r="Q52" s="59"/>
      <c r="S52" s="56"/>
      <c r="T52" s="57"/>
      <c r="U52" s="58"/>
      <c r="AC52" s="36"/>
      <c r="DK52" s="122"/>
      <c r="DL52" s="122"/>
      <c r="DV52" s="36"/>
      <c r="EF52" s="36">
        <v>99</v>
      </c>
    </row>
    <row r="53" spans="1:145" ht="14.25" customHeight="1" thickTop="1" thickBot="1" x14ac:dyDescent="0.3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44"/>
      <c r="M53" s="44"/>
      <c r="N53" s="56"/>
      <c r="O53" s="57"/>
      <c r="P53" s="58"/>
      <c r="Q53" s="59"/>
      <c r="S53" s="56"/>
      <c r="T53" s="57"/>
      <c r="U53" s="58"/>
      <c r="AC53" s="36"/>
      <c r="AG53" s="137"/>
      <c r="BA53" s="36" t="s">
        <v>3</v>
      </c>
      <c r="BB53" s="36" t="str">
        <f>D54</f>
        <v>los</v>
      </c>
      <c r="BC53" s="36" t="str">
        <f>BD69</f>
        <v>dis.</v>
      </c>
      <c r="CD53" s="36" t="s">
        <v>3</v>
      </c>
      <c r="CE53" s="254">
        <f>IF(BG62&gt;3,4,(SUM(CE56:CE59)))</f>
        <v>4</v>
      </c>
      <c r="CF53" s="36">
        <f>IF(CE53=4,1,0)</f>
        <v>1</v>
      </c>
      <c r="DK53" s="122"/>
      <c r="DL53" s="122"/>
      <c r="DV53" s="36"/>
    </row>
    <row r="54" spans="1:145" ht="14.25" customHeight="1" thickTop="1" thickBot="1" x14ac:dyDescent="0.3">
      <c r="A54" s="449" t="str">
        <f>CONCATENATE([1]List1!$B$4)</f>
        <v>příjmení a jméno</v>
      </c>
      <c r="B54" s="461" t="str">
        <f>CONCATENATE([1]List1!$B$5)</f>
        <v>oddíl</v>
      </c>
      <c r="C54" s="463"/>
      <c r="D54" s="465" t="str">
        <f>CONCATENATE([1]List1!$B$7)</f>
        <v>los</v>
      </c>
      <c r="E54" s="401" t="str">
        <f>CONCATENATE([1]List1!$A$26)</f>
        <v>finále</v>
      </c>
      <c r="F54" s="401"/>
      <c r="G54" s="402"/>
      <c r="H54" s="429" t="str">
        <f>CONCATENATE([1]List1!$A$27)</f>
        <v>výsledky</v>
      </c>
      <c r="I54" s="430"/>
      <c r="J54" s="431"/>
      <c r="K54" s="468" t="str">
        <f>CONCATENATE([1]List1!$A$18)</f>
        <v>poř.</v>
      </c>
      <c r="L54" s="469"/>
      <c r="M54" s="44"/>
      <c r="N54" s="56"/>
      <c r="O54" s="57"/>
      <c r="P54" s="58"/>
      <c r="Q54" s="59"/>
      <c r="S54" s="56"/>
      <c r="T54" s="57"/>
      <c r="U54" s="58"/>
      <c r="AG54" s="137"/>
      <c r="BA54" s="36">
        <f>IF((BD59+BD60)&gt;0,4,(SUM(BA55:BA58)))</f>
        <v>4</v>
      </c>
      <c r="BE54" s="36">
        <v>0</v>
      </c>
      <c r="BK54" s="1" t="str">
        <f>BB44</f>
        <v>vypl</v>
      </c>
      <c r="CD54" s="67" t="str">
        <f>[1]List1!$A$27</f>
        <v>výsledky</v>
      </c>
      <c r="DK54" s="122"/>
      <c r="DL54" s="122"/>
      <c r="DN54" s="36" t="str">
        <f>'Tabulka kvalifikace'!D6</f>
        <v>los</v>
      </c>
      <c r="DV54" s="36"/>
      <c r="ED54" s="36" t="str">
        <f>'Tabulka kvalifikace'!AD6</f>
        <v>dis.</v>
      </c>
      <c r="EF54" s="36" t="s">
        <v>6</v>
      </c>
      <c r="EH54" s="36" t="s">
        <v>4</v>
      </c>
      <c r="EJ54" s="36" t="str">
        <f>DN54</f>
        <v>los</v>
      </c>
      <c r="EK54" s="36" t="str">
        <f>ED54</f>
        <v>dis.</v>
      </c>
    </row>
    <row r="55" spans="1:145" ht="14.25" customHeight="1" thickTop="1" thickBot="1" x14ac:dyDescent="0.3">
      <c r="A55" s="450"/>
      <c r="B55" s="462"/>
      <c r="C55" s="464"/>
      <c r="D55" s="466"/>
      <c r="E55" s="290"/>
      <c r="F55" s="290"/>
      <c r="G55" s="467"/>
      <c r="H55" s="77" t="str">
        <f>CONCATENATE([1]List1!$A$28)</f>
        <v>B</v>
      </c>
      <c r="I55" s="45" t="str">
        <f>CONCATENATE([1]List1!$A$29)</f>
        <v>T</v>
      </c>
      <c r="J55" s="70" t="str">
        <f>CONCATENATE([1]List1!$A$30)</f>
        <v>O</v>
      </c>
      <c r="K55" s="468"/>
      <c r="L55" s="469"/>
      <c r="M55" s="44"/>
      <c r="N55" s="56"/>
      <c r="O55" s="57"/>
      <c r="P55" s="58"/>
      <c r="Q55" s="59"/>
      <c r="S55" s="56"/>
      <c r="T55" s="57"/>
      <c r="U55" s="58"/>
      <c r="BA55" s="36">
        <f>IF(F56="",0,1)</f>
        <v>1</v>
      </c>
      <c r="BB55" s="36">
        <f>D36</f>
        <v>2</v>
      </c>
      <c r="BC55" s="36">
        <f t="shared" ref="BC55:BC60" si="18">IF(BB55="","",(INDEX($BL$70:$BL$106,BB55)))</f>
        <v>0</v>
      </c>
      <c r="BD55" s="36">
        <f t="shared" ref="BD55:BD60" si="19">IF(BC55=0,0,1)</f>
        <v>0</v>
      </c>
      <c r="BE55" s="36">
        <v>1</v>
      </c>
      <c r="BG55" s="1">
        <f t="shared" ref="BG55:BG60" si="20">IF(BC55=0,0,BE55)</f>
        <v>0</v>
      </c>
      <c r="BK55" s="266">
        <f>IF((BD59+BD60)&gt;0,4,(SUM(BK56:BK59)))</f>
        <v>4</v>
      </c>
      <c r="DK55" s="122"/>
      <c r="DL55" s="122"/>
      <c r="DM55" s="36">
        <v>1</v>
      </c>
      <c r="DN55" s="36">
        <f>'Tabulka kvalifikace'!D7</f>
        <v>1</v>
      </c>
      <c r="DV55" s="36"/>
      <c r="ED55" s="36">
        <f>'Tabulka kvalifikace'!AD7</f>
        <v>0</v>
      </c>
      <c r="EF55" s="36">
        <f>IF(DN55="",$EF$52,(IF(DN55=0,$EF$52,DM55)))</f>
        <v>1</v>
      </c>
      <c r="EH55" s="36">
        <f>SMALL($EF$55:$EF$124,DM55)</f>
        <v>1</v>
      </c>
      <c r="EJ55" s="36">
        <f>IF(EH55=99,"",(INDEX($DN$55:$DN$124,EH55)))</f>
        <v>1</v>
      </c>
      <c r="EK55" s="36">
        <f>IF(EH55=99,"",(INDEX($ED$55:$ED$124,EH55)))</f>
        <v>0</v>
      </c>
    </row>
    <row r="56" spans="1:145" ht="14.25" customHeight="1" thickTop="1" thickBot="1" x14ac:dyDescent="0.3">
      <c r="A56" s="435" t="str">
        <f>IF(D56="","",(INDEX($AB$10:$AB$41,D56)))</f>
        <v>MÍSAŘ Filip</v>
      </c>
      <c r="B56" s="436" t="str">
        <f>IF(D56="","",INDEX($AC$10:$AC$41,D56))</f>
        <v>H.Brod</v>
      </c>
      <c r="C56" s="472"/>
      <c r="D56" s="474">
        <f>IF($U$10=1,$D$10,IF($U$12=1,$D$12,IF($U$14=1,$D$14,"")))</f>
        <v>3</v>
      </c>
      <c r="E56" s="345" t="str">
        <f>CONCATENATE(D58)</f>
        <v>6</v>
      </c>
      <c r="F56" s="24">
        <v>0</v>
      </c>
      <c r="G56" s="25"/>
      <c r="H56" s="457">
        <f>IF($AA$3="x",(ABS(F56)),0)</f>
        <v>0</v>
      </c>
      <c r="I56" s="453">
        <f>IF($AA$3="x",(ABS(F57)),0)</f>
        <v>0</v>
      </c>
      <c r="J56" s="455">
        <f>ABS(G56)</f>
        <v>0</v>
      </c>
      <c r="K56" s="470">
        <f>IF(BK47=0,"",(IF(A56="","",(IF('Tabulka kvalifikace'!AC5="","",(IF(BA54=4,(IF(BC59=0,(IF(A56="","",(IF(F56&gt;2,$BC$39,$BC$38)))),$BC$53)),"")))))))</f>
        <v>2</v>
      </c>
      <c r="L56" s="471"/>
      <c r="M56" s="44"/>
      <c r="N56" s="56"/>
      <c r="O56" s="57"/>
      <c r="P56" s="58"/>
      <c r="Q56" s="59"/>
      <c r="S56" s="56"/>
      <c r="T56" s="57"/>
      <c r="U56" s="58"/>
      <c r="BA56" s="36">
        <f>IF(F57="",0,1)</f>
        <v>1</v>
      </c>
      <c r="BB56" s="36">
        <f>D38</f>
        <v>4</v>
      </c>
      <c r="BC56" s="36">
        <f t="shared" si="18"/>
        <v>0</v>
      </c>
      <c r="BD56" s="36">
        <f t="shared" si="19"/>
        <v>0</v>
      </c>
      <c r="BE56" s="36">
        <v>2</v>
      </c>
      <c r="BG56" s="1">
        <f t="shared" si="20"/>
        <v>0</v>
      </c>
      <c r="BK56" s="1">
        <f>IF(F56="",0,1)</f>
        <v>1</v>
      </c>
      <c r="CD56" s="36">
        <f>IF(K56=$BC$53,8,(IF((F56)="","",F56)))</f>
        <v>0</v>
      </c>
      <c r="CE56" s="36">
        <f>(IF(K56=$CD$50,1,(IF(CD56="",0,1))))</f>
        <v>1</v>
      </c>
      <c r="DK56" s="122">
        <f>D56</f>
        <v>3</v>
      </c>
      <c r="DL56" s="122">
        <f>IF(D56="","",(INDEX($EK$55:$EK$92,D56)))</f>
        <v>0</v>
      </c>
      <c r="DM56" s="36">
        <f>DM55+1</f>
        <v>2</v>
      </c>
      <c r="DN56" s="36">
        <f>'Tabulka kvalifikace'!D8</f>
        <v>0</v>
      </c>
      <c r="DV56" s="36"/>
      <c r="ED56" s="36">
        <f>'Tabulka kvalifikace'!AD8</f>
        <v>0</v>
      </c>
      <c r="EF56" s="36">
        <f t="shared" ref="EF56:EF124" si="21">IF(DN56="",$EF$52,(IF(DN56=0,$EF$52,DM56)))</f>
        <v>99</v>
      </c>
      <c r="EH56" s="36">
        <f t="shared" ref="EH56:EH124" si="22">SMALL($EF$55:$EF$124,DM56)</f>
        <v>3</v>
      </c>
      <c r="EJ56" s="36">
        <f t="shared" ref="EJ56:EJ124" si="23">IF(EH56=99,"",(INDEX($DN$55:$DN$124,EH56)))</f>
        <v>2</v>
      </c>
      <c r="EK56" s="36">
        <f t="shared" ref="EK56:EK124" si="24">IF(EH56=99,"",(INDEX($ED$55:$ED$124,EH56)))</f>
        <v>0</v>
      </c>
    </row>
    <row r="57" spans="1:145" ht="14.25" customHeight="1" thickBot="1" x14ac:dyDescent="0.3">
      <c r="A57" s="418"/>
      <c r="B57" s="419"/>
      <c r="C57" s="473"/>
      <c r="D57" s="475"/>
      <c r="E57" s="346"/>
      <c r="F57" s="27">
        <v>0</v>
      </c>
      <c r="G57" s="28"/>
      <c r="H57" s="479"/>
      <c r="I57" s="454"/>
      <c r="J57" s="456"/>
      <c r="K57" s="442"/>
      <c r="L57" s="443"/>
      <c r="M57" s="44"/>
      <c r="N57" s="56"/>
      <c r="O57" s="57"/>
      <c r="P57" s="58"/>
      <c r="Q57" s="59"/>
      <c r="S57" s="56"/>
      <c r="T57" s="57"/>
      <c r="U57" s="58"/>
      <c r="AG57" s="36"/>
      <c r="BA57" s="36">
        <f>IF(F58="",0,1)</f>
        <v>1</v>
      </c>
      <c r="BB57" s="36">
        <f>D46</f>
        <v>1</v>
      </c>
      <c r="BC57" s="36">
        <f t="shared" si="18"/>
        <v>0</v>
      </c>
      <c r="BD57" s="36">
        <f t="shared" si="19"/>
        <v>0</v>
      </c>
      <c r="BE57" s="36">
        <v>4</v>
      </c>
      <c r="BG57" s="1">
        <f t="shared" si="20"/>
        <v>0</v>
      </c>
      <c r="BK57" s="1">
        <f>IF(F57="",0,1)</f>
        <v>1</v>
      </c>
      <c r="CD57" s="36">
        <f>IF(K56=$BC$53,8,(IF((F57)="","",F57)))</f>
        <v>0</v>
      </c>
      <c r="CE57" s="36">
        <f>IF(CD57="",0,1)</f>
        <v>1</v>
      </c>
      <c r="DK57" s="122"/>
      <c r="DL57" s="267"/>
      <c r="DM57" s="36">
        <f t="shared" ref="DM57:DM92" si="25">DM56+1</f>
        <v>3</v>
      </c>
      <c r="DN57" s="36">
        <f>'Tabulka kvalifikace'!D9</f>
        <v>2</v>
      </c>
      <c r="DV57" s="36"/>
      <c r="ED57" s="36">
        <f>'Tabulka kvalifikace'!AD9</f>
        <v>0</v>
      </c>
      <c r="EE57"/>
      <c r="EF57" s="36">
        <f t="shared" si="21"/>
        <v>3</v>
      </c>
      <c r="EG57"/>
      <c r="EH57" s="36">
        <f t="shared" si="22"/>
        <v>5</v>
      </c>
      <c r="EI57"/>
      <c r="EJ57" s="36">
        <f t="shared" si="23"/>
        <v>3</v>
      </c>
      <c r="EK57" s="36">
        <f t="shared" si="24"/>
        <v>0</v>
      </c>
      <c r="EL57"/>
      <c r="EM57"/>
      <c r="EO57"/>
    </row>
    <row r="58" spans="1:145" ht="14.25" customHeight="1" thickBot="1" x14ac:dyDescent="0.3">
      <c r="A58" s="418" t="str">
        <f>IF(D58="","",INDEX($AB$10:$AB$41,D58))</f>
        <v>Novosadová Natália</v>
      </c>
      <c r="B58" s="419" t="str">
        <f>IF(D58="","",INDEX($AC$10:$AC$41,D58))</f>
        <v>Nitra</v>
      </c>
      <c r="C58" s="476"/>
      <c r="D58" s="475">
        <f>IF($U$22=1,$D$22,IF($U$24=1,$D$24,IF($U$26=1,$D$26,"")))</f>
        <v>6</v>
      </c>
      <c r="E58" s="343" t="str">
        <f>CONCATENATE(D56)</f>
        <v>3</v>
      </c>
      <c r="F58" s="31">
        <v>4</v>
      </c>
      <c r="G58" s="32"/>
      <c r="H58" s="451">
        <f>IF($AA$3="x",(ABS(F58)),0)</f>
        <v>4</v>
      </c>
      <c r="I58" s="438">
        <f>IF($AA$3="x",(ABS(F59)),0)</f>
        <v>12</v>
      </c>
      <c r="J58" s="440">
        <f>ABS(G58)</f>
        <v>0</v>
      </c>
      <c r="K58" s="442">
        <f>IF(BK47=0,"",(IF(A58="","",(IF('Tabulka kvalifikace'!AC5="","",(IF(BA54=4,IF(BC60=0,(IF(A58="","",(IF(F58&gt;2,$BC$39,$BC$38)))),$BC$53),"")))))))</f>
        <v>1</v>
      </c>
      <c r="L58" s="443"/>
      <c r="M58" s="44"/>
      <c r="N58" s="56"/>
      <c r="O58" s="57"/>
      <c r="P58" s="58"/>
      <c r="Q58" s="59"/>
      <c r="S58" s="56"/>
      <c r="T58" s="57"/>
      <c r="U58" s="58"/>
      <c r="AG58" s="36"/>
      <c r="BA58" s="36">
        <f>IF(F59="",0,1)</f>
        <v>1</v>
      </c>
      <c r="BB58" s="36">
        <f>D48</f>
        <v>5</v>
      </c>
      <c r="BC58" s="36">
        <f t="shared" si="18"/>
        <v>0</v>
      </c>
      <c r="BD58" s="36">
        <f t="shared" si="19"/>
        <v>0</v>
      </c>
      <c r="BE58" s="36">
        <v>8</v>
      </c>
      <c r="BG58" s="1">
        <f t="shared" si="20"/>
        <v>0</v>
      </c>
      <c r="BK58" s="1">
        <f>IF(F58="",0,1)</f>
        <v>1</v>
      </c>
      <c r="CD58" s="36">
        <f>IF(K56=$BC$53,8,(IF((F58)="","",F58)))</f>
        <v>4</v>
      </c>
      <c r="CE58" s="36">
        <f>(IF(CD58="",0,1))</f>
        <v>1</v>
      </c>
      <c r="DK58" s="122">
        <f>D58</f>
        <v>6</v>
      </c>
      <c r="DL58" s="122">
        <f>IF(D58="","",(INDEX($EK$55:$EK$92,D58)))</f>
        <v>0</v>
      </c>
      <c r="DM58" s="36">
        <f t="shared" si="25"/>
        <v>4</v>
      </c>
      <c r="DN58" s="36">
        <f>'Tabulka kvalifikace'!D10</f>
        <v>0</v>
      </c>
      <c r="DV58" s="36"/>
      <c r="ED58" s="36">
        <f>'Tabulka kvalifikace'!AD10</f>
        <v>0</v>
      </c>
      <c r="EE58"/>
      <c r="EF58" s="36">
        <f t="shared" si="21"/>
        <v>99</v>
      </c>
      <c r="EG58"/>
      <c r="EH58" s="36">
        <f t="shared" si="22"/>
        <v>33</v>
      </c>
      <c r="EI58"/>
      <c r="EJ58" s="36">
        <f t="shared" si="23"/>
        <v>0</v>
      </c>
      <c r="EK58" s="36">
        <f t="shared" si="24"/>
        <v>0</v>
      </c>
      <c r="EL58"/>
      <c r="EM58"/>
      <c r="EO58"/>
    </row>
    <row r="59" spans="1:145" ht="14.25" customHeight="1" thickBot="1" x14ac:dyDescent="0.3">
      <c r="A59" s="432"/>
      <c r="B59" s="433"/>
      <c r="C59" s="477"/>
      <c r="D59" s="478"/>
      <c r="E59" s="344"/>
      <c r="F59" s="34">
        <v>12</v>
      </c>
      <c r="G59" s="35"/>
      <c r="H59" s="452"/>
      <c r="I59" s="439"/>
      <c r="J59" s="441"/>
      <c r="K59" s="444"/>
      <c r="L59" s="445"/>
      <c r="M59" s="44"/>
      <c r="N59" s="56"/>
      <c r="O59" s="57"/>
      <c r="P59" s="58"/>
      <c r="Q59" s="59"/>
      <c r="S59" s="56"/>
      <c r="T59" s="57"/>
      <c r="U59" s="58"/>
      <c r="AG59" s="36"/>
      <c r="BB59" s="36">
        <f>D56</f>
        <v>3</v>
      </c>
      <c r="BC59" s="36">
        <f t="shared" si="18"/>
        <v>0</v>
      </c>
      <c r="BD59" s="36">
        <f t="shared" si="19"/>
        <v>0</v>
      </c>
      <c r="BE59" s="36">
        <v>16</v>
      </c>
      <c r="BG59" s="1">
        <f t="shared" si="20"/>
        <v>0</v>
      </c>
      <c r="BK59" s="1">
        <f>IF(F59="",0,1)</f>
        <v>1</v>
      </c>
      <c r="CD59" s="36">
        <f>IF(K56=$BC$53,8,(IF((F59)="","",F59)))</f>
        <v>12</v>
      </c>
      <c r="CE59" s="36">
        <f>(IF(CD59="",0,1))</f>
        <v>1</v>
      </c>
      <c r="DK59" s="123"/>
      <c r="DL59" s="123"/>
      <c r="DM59" s="36">
        <f t="shared" si="25"/>
        <v>5</v>
      </c>
      <c r="DN59" s="36">
        <f>'Tabulka kvalifikace'!D11</f>
        <v>3</v>
      </c>
      <c r="DV59" s="36"/>
      <c r="ED59" s="36">
        <f>'Tabulka kvalifikace'!AD11</f>
        <v>0</v>
      </c>
      <c r="EE59"/>
      <c r="EF59" s="36">
        <f t="shared" si="21"/>
        <v>5</v>
      </c>
      <c r="EG59"/>
      <c r="EH59" s="36">
        <f t="shared" si="22"/>
        <v>35</v>
      </c>
      <c r="EI59"/>
      <c r="EJ59" s="36" t="str">
        <f t="shared" si="23"/>
        <v/>
      </c>
      <c r="EK59" s="36">
        <f t="shared" si="24"/>
        <v>0</v>
      </c>
      <c r="EL59"/>
      <c r="EM59"/>
      <c r="EO59"/>
    </row>
    <row r="60" spans="1:145" ht="14.25" customHeight="1" thickTop="1" x14ac:dyDescent="0.25">
      <c r="A60" s="53"/>
      <c r="B60" s="53"/>
      <c r="C60" s="53"/>
      <c r="D60" s="54"/>
      <c r="E60" s="55"/>
      <c r="F60" s="44"/>
      <c r="G60" s="44"/>
      <c r="H60" s="55"/>
      <c r="I60" s="44"/>
      <c r="J60" s="44"/>
      <c r="K60" s="55"/>
      <c r="L60" s="44"/>
      <c r="M60" s="44"/>
      <c r="N60" s="56"/>
      <c r="O60" s="57"/>
      <c r="P60" s="58"/>
      <c r="Q60" s="59"/>
      <c r="S60" s="56"/>
      <c r="T60" s="57"/>
      <c r="U60" s="58"/>
      <c r="AG60" s="36"/>
      <c r="BB60" s="36">
        <f>D58</f>
        <v>6</v>
      </c>
      <c r="BC60" s="36">
        <f t="shared" si="18"/>
        <v>0</v>
      </c>
      <c r="BD60" s="36">
        <f t="shared" si="19"/>
        <v>0</v>
      </c>
      <c r="BE60" s="36">
        <v>32</v>
      </c>
      <c r="BG60" s="1">
        <f t="shared" si="20"/>
        <v>0</v>
      </c>
      <c r="DM60" s="36">
        <f t="shared" si="25"/>
        <v>6</v>
      </c>
      <c r="DN60" s="36">
        <f>'Tabulka kvalifikace'!D12</f>
        <v>0</v>
      </c>
      <c r="DV60" s="36"/>
      <c r="ED60" s="36">
        <f>'Tabulka kvalifikace'!AD12</f>
        <v>0</v>
      </c>
      <c r="EE60"/>
      <c r="EF60" s="36">
        <f t="shared" si="21"/>
        <v>99</v>
      </c>
      <c r="EG60"/>
      <c r="EH60" s="36">
        <f t="shared" si="22"/>
        <v>37</v>
      </c>
      <c r="EI60"/>
      <c r="EJ60" s="36" t="str">
        <f t="shared" si="23"/>
        <v/>
      </c>
      <c r="EK60" s="36">
        <f t="shared" si="24"/>
        <v>0</v>
      </c>
      <c r="EL60"/>
      <c r="EM60"/>
      <c r="EO60"/>
    </row>
    <row r="61" spans="1:145" ht="14.25" customHeight="1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8"/>
      <c r="Q61" s="59"/>
      <c r="S61" s="56"/>
      <c r="T61" s="57"/>
      <c r="U61" s="58"/>
      <c r="AG61" s="36"/>
      <c r="DM61" s="36">
        <f t="shared" si="25"/>
        <v>7</v>
      </c>
      <c r="DN61" s="36" t="str">
        <f>'Tabulka kvalifikace'!D13</f>
        <v/>
      </c>
      <c r="DV61" s="36"/>
      <c r="ED61" s="36">
        <f>'Tabulka kvalifikace'!AD13</f>
        <v>0</v>
      </c>
      <c r="EE61"/>
      <c r="EF61" s="36">
        <f t="shared" si="21"/>
        <v>99</v>
      </c>
      <c r="EG61"/>
      <c r="EH61" s="36">
        <f t="shared" si="22"/>
        <v>99</v>
      </c>
      <c r="EI61"/>
      <c r="EJ61" s="36" t="str">
        <f t="shared" si="23"/>
        <v/>
      </c>
      <c r="EK61" s="36" t="str">
        <f t="shared" si="24"/>
        <v/>
      </c>
      <c r="EL61"/>
      <c r="EM61"/>
      <c r="EO61"/>
    </row>
    <row r="62" spans="1:145" ht="14.25" customHeight="1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8"/>
      <c r="Q62" s="59"/>
      <c r="S62" s="56"/>
      <c r="T62" s="57"/>
      <c r="U62" s="58"/>
      <c r="AG62" s="36"/>
      <c r="BE62" s="36" t="s">
        <v>3</v>
      </c>
      <c r="BG62" s="1">
        <f>SUM(BG55:BG60)</f>
        <v>0</v>
      </c>
      <c r="DM62" s="36">
        <f t="shared" si="25"/>
        <v>8</v>
      </c>
      <c r="DN62" s="36">
        <f>'Tabulka kvalifikace'!D14</f>
        <v>0</v>
      </c>
      <c r="DV62" s="36"/>
      <c r="ED62" s="36">
        <f>'Tabulka kvalifikace'!AD14</f>
        <v>0</v>
      </c>
      <c r="EE62"/>
      <c r="EF62" s="36">
        <f t="shared" si="21"/>
        <v>99</v>
      </c>
      <c r="EG62"/>
      <c r="EH62" s="36">
        <f t="shared" si="22"/>
        <v>99</v>
      </c>
      <c r="EI62"/>
      <c r="EJ62" s="36" t="str">
        <f t="shared" si="23"/>
        <v/>
      </c>
      <c r="EK62" s="36" t="str">
        <f t="shared" si="24"/>
        <v/>
      </c>
      <c r="EL62"/>
      <c r="EM62"/>
      <c r="EO62"/>
    </row>
    <row r="63" spans="1:145" ht="14.25" customHeight="1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8"/>
      <c r="Q63" s="59"/>
      <c r="S63" s="56"/>
      <c r="T63" s="57"/>
      <c r="U63" s="58"/>
      <c r="AG63" s="36"/>
      <c r="DM63" s="36">
        <f t="shared" si="25"/>
        <v>9</v>
      </c>
      <c r="DN63" s="36" t="str">
        <f>'Tabulka kvalifikace'!D15</f>
        <v/>
      </c>
      <c r="DV63" s="36"/>
      <c r="ED63" s="36">
        <f>'Tabulka kvalifikace'!AD15</f>
        <v>0</v>
      </c>
      <c r="EE63"/>
      <c r="EF63" s="36">
        <f t="shared" si="21"/>
        <v>99</v>
      </c>
      <c r="EG63"/>
      <c r="EH63" s="36">
        <f t="shared" si="22"/>
        <v>99</v>
      </c>
      <c r="EI63"/>
      <c r="EJ63" s="36" t="str">
        <f t="shared" si="23"/>
        <v/>
      </c>
      <c r="EK63" s="36" t="str">
        <f t="shared" si="24"/>
        <v/>
      </c>
      <c r="EL63"/>
      <c r="EM63"/>
      <c r="EO63"/>
    </row>
    <row r="64" spans="1:145" ht="14.25" customHeight="1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8"/>
      <c r="Q64" s="59"/>
      <c r="S64" s="56"/>
      <c r="T64" s="57"/>
      <c r="U64" s="58"/>
      <c r="AG64" s="36"/>
      <c r="DM64" s="36">
        <f t="shared" si="25"/>
        <v>10</v>
      </c>
      <c r="DN64" s="36">
        <f>'Tabulka kvalifikace'!D16</f>
        <v>0</v>
      </c>
      <c r="DV64" s="36"/>
      <c r="ED64" s="36">
        <f>'Tabulka kvalifikace'!AD16</f>
        <v>0</v>
      </c>
      <c r="EE64"/>
      <c r="EF64" s="36">
        <f t="shared" si="21"/>
        <v>99</v>
      </c>
      <c r="EG64"/>
      <c r="EH64" s="36">
        <f t="shared" si="22"/>
        <v>99</v>
      </c>
      <c r="EI64"/>
      <c r="EJ64" s="36" t="str">
        <f t="shared" si="23"/>
        <v/>
      </c>
      <c r="EK64" s="36" t="str">
        <f t="shared" si="24"/>
        <v/>
      </c>
      <c r="EL64"/>
      <c r="EM64"/>
      <c r="EO64"/>
    </row>
    <row r="65" spans="1:197" ht="14.25" customHeight="1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8"/>
      <c r="Q65" s="59"/>
      <c r="S65" s="56"/>
      <c r="T65" s="57"/>
      <c r="U65" s="58"/>
      <c r="AG65" s="36"/>
      <c r="DM65" s="36">
        <f t="shared" si="25"/>
        <v>11</v>
      </c>
      <c r="DN65" s="36" t="str">
        <f>'Tabulka kvalifikace'!D17</f>
        <v/>
      </c>
      <c r="DV65" s="36"/>
      <c r="ED65" s="36">
        <f>'Tabulka kvalifikace'!AD17</f>
        <v>0</v>
      </c>
      <c r="EE65"/>
      <c r="EF65" s="36">
        <f t="shared" si="21"/>
        <v>99</v>
      </c>
      <c r="EG65"/>
      <c r="EH65" s="36">
        <f t="shared" si="22"/>
        <v>99</v>
      </c>
      <c r="EI65"/>
      <c r="EJ65" s="36" t="str">
        <f t="shared" si="23"/>
        <v/>
      </c>
      <c r="EK65" s="36" t="str">
        <f t="shared" si="24"/>
        <v/>
      </c>
      <c r="EL65"/>
      <c r="EM65"/>
      <c r="EO65"/>
    </row>
    <row r="66" spans="1:197" ht="14.25" hidden="1" customHeight="1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8"/>
      <c r="Q66" s="59"/>
      <c r="S66" s="56"/>
      <c r="T66" s="57"/>
      <c r="U66" s="58"/>
      <c r="AG66" s="3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3"/>
      <c r="CO66" s="73"/>
      <c r="CP66" s="73"/>
      <c r="CQ66"/>
      <c r="CR66"/>
      <c r="CS66" s="135"/>
      <c r="CT66"/>
      <c r="CU66" s="135"/>
      <c r="CV66"/>
      <c r="DI66" s="36"/>
      <c r="DM66" s="36">
        <f t="shared" si="25"/>
        <v>12</v>
      </c>
      <c r="DN66" s="36">
        <f>'Tabulka kvalifikace'!D18</f>
        <v>0</v>
      </c>
      <c r="DV66" s="36"/>
      <c r="ED66" s="36">
        <f>'Tabulka kvalifikace'!AD18</f>
        <v>0</v>
      </c>
      <c r="EE66"/>
      <c r="EF66" s="36">
        <f t="shared" si="21"/>
        <v>99</v>
      </c>
      <c r="EG66"/>
      <c r="EH66" s="36">
        <f t="shared" si="22"/>
        <v>99</v>
      </c>
      <c r="EI66"/>
      <c r="EJ66" s="36" t="str">
        <f t="shared" si="23"/>
        <v/>
      </c>
      <c r="EK66" s="36" t="str">
        <f t="shared" si="24"/>
        <v/>
      </c>
      <c r="EL66"/>
      <c r="EM66"/>
      <c r="EO66"/>
    </row>
    <row r="67" spans="1:197" ht="14.25" hidden="1" customHeight="1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8"/>
      <c r="Q67" s="59"/>
      <c r="S67" s="56"/>
      <c r="T67" s="57"/>
      <c r="U67" s="58"/>
      <c r="AG67" s="36"/>
      <c r="AJ67" s="288" t="s">
        <v>51</v>
      </c>
      <c r="AK67" s="288"/>
      <c r="AL67" s="288"/>
      <c r="AM67" s="288"/>
      <c r="AN67" s="288"/>
      <c r="AO67" s="288"/>
      <c r="AP67" s="288"/>
      <c r="AQ67" s="288"/>
      <c r="AR67" s="288"/>
      <c r="AS67" s="288"/>
      <c r="AT67" s="288"/>
      <c r="AU67" s="288"/>
      <c r="AV67" s="288"/>
      <c r="AW67" s="288"/>
      <c r="AX67" s="288"/>
      <c r="AY67" s="288"/>
      <c r="BD67" s="36">
        <v>999</v>
      </c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3"/>
      <c r="CO67" s="73"/>
      <c r="CP67" s="73"/>
      <c r="CQ67"/>
      <c r="CR67"/>
      <c r="CS67" s="135"/>
      <c r="CT67"/>
      <c r="CU67" s="135"/>
      <c r="CV67"/>
      <c r="DI67" s="36"/>
      <c r="DM67" s="36">
        <f t="shared" si="25"/>
        <v>13</v>
      </c>
      <c r="DN67" s="36" t="str">
        <f>'Tabulka kvalifikace'!D19</f>
        <v/>
      </c>
      <c r="DV67" s="36"/>
      <c r="ED67" s="36">
        <f>'Tabulka kvalifikace'!AD19</f>
        <v>0</v>
      </c>
      <c r="EE67"/>
      <c r="EF67" s="36">
        <f t="shared" si="21"/>
        <v>99</v>
      </c>
      <c r="EG67"/>
      <c r="EH67" s="36">
        <f t="shared" si="22"/>
        <v>99</v>
      </c>
      <c r="EI67"/>
      <c r="EJ67" s="36" t="str">
        <f t="shared" si="23"/>
        <v/>
      </c>
      <c r="EK67" s="36" t="str">
        <f t="shared" si="24"/>
        <v/>
      </c>
      <c r="EL67"/>
      <c r="EM67"/>
      <c r="EO67"/>
    </row>
    <row r="68" spans="1:197" ht="12.75" hidden="1" customHeight="1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AG68" s="36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3"/>
      <c r="CO68" s="73"/>
      <c r="CP68" s="73"/>
      <c r="CQ68"/>
      <c r="CR68"/>
      <c r="CS68" s="135"/>
      <c r="CT68"/>
      <c r="CU68" s="135"/>
      <c r="CV68"/>
      <c r="DI68" s="36"/>
      <c r="DM68" s="36">
        <f t="shared" si="25"/>
        <v>14</v>
      </c>
      <c r="DN68" s="36">
        <f>'Tabulka kvalifikace'!D20</f>
        <v>0</v>
      </c>
      <c r="DV68" s="36"/>
      <c r="ED68" s="36">
        <f>'Tabulka kvalifikace'!AD20</f>
        <v>0</v>
      </c>
      <c r="EE68"/>
      <c r="EF68" s="36">
        <f t="shared" si="21"/>
        <v>99</v>
      </c>
      <c r="EG68"/>
      <c r="EH68" s="36">
        <f t="shared" si="22"/>
        <v>99</v>
      </c>
      <c r="EI68"/>
      <c r="EJ68" s="36" t="str">
        <f t="shared" si="23"/>
        <v/>
      </c>
      <c r="EK68" s="36" t="str">
        <f t="shared" si="24"/>
        <v/>
      </c>
      <c r="EL68"/>
      <c r="EM68"/>
      <c r="EO68"/>
    </row>
    <row r="69" spans="1:197" ht="12.75" hidden="1" customHeight="1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AG69" s="36"/>
      <c r="BC69" s="36" t="str">
        <f>'Tabulka kvalifikace'!D6</f>
        <v>los</v>
      </c>
      <c r="BD69" s="36" t="str">
        <f>'Tabulka kvalifikace'!AD6</f>
        <v>dis.</v>
      </c>
      <c r="BF69" s="1" t="s">
        <v>6</v>
      </c>
      <c r="BH69" s="1" t="s">
        <v>4</v>
      </c>
      <c r="BK69" s="1" t="str">
        <f>BC69</f>
        <v>los</v>
      </c>
      <c r="BL69" s="1" t="str">
        <f>BD69</f>
        <v>dis.</v>
      </c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3"/>
      <c r="CO69" s="73"/>
      <c r="CP69" s="73"/>
      <c r="CQ69"/>
      <c r="CR69"/>
      <c r="CS69" s="135"/>
      <c r="CT69"/>
      <c r="CU69" s="135"/>
      <c r="CV69"/>
      <c r="DI69" s="36"/>
      <c r="DM69" s="36">
        <f t="shared" si="25"/>
        <v>15</v>
      </c>
      <c r="DN69" s="36" t="str">
        <f>'Tabulka kvalifikace'!D21</f>
        <v/>
      </c>
      <c r="DV69" s="36"/>
      <c r="ED69" s="36">
        <f>'Tabulka kvalifikace'!AD21</f>
        <v>0</v>
      </c>
      <c r="EE69"/>
      <c r="EF69" s="36">
        <f t="shared" si="21"/>
        <v>99</v>
      </c>
      <c r="EG69"/>
      <c r="EH69" s="36">
        <f t="shared" si="22"/>
        <v>99</v>
      </c>
      <c r="EI69"/>
      <c r="EJ69" s="36" t="str">
        <f t="shared" si="23"/>
        <v/>
      </c>
      <c r="EK69" s="36" t="str">
        <f t="shared" si="24"/>
        <v/>
      </c>
      <c r="EL69"/>
      <c r="EM69"/>
      <c r="EO69"/>
      <c r="GA69" s="36" t="s">
        <v>50</v>
      </c>
      <c r="GB69" s="36" t="s">
        <v>48</v>
      </c>
      <c r="GC69" s="36" t="s">
        <v>49</v>
      </c>
    </row>
    <row r="70" spans="1:197" hidden="1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AG70" s="36"/>
      <c r="AJ70" s="67" t="str">
        <f>[2]Soutěž!$E$5</f>
        <v>Bojovat o 3. místo</v>
      </c>
      <c r="AP70" s="36" t="str">
        <f>[2]Soutěž!$H$5</f>
        <v>x</v>
      </c>
      <c r="AQ70" s="36">
        <f>IF(AP70="x",1,0)</f>
        <v>1</v>
      </c>
      <c r="AR70" s="36">
        <f>IF(AP70="x",0,1)</f>
        <v>0</v>
      </c>
      <c r="BB70" s="36">
        <v>1</v>
      </c>
      <c r="BC70" s="36">
        <f>'Tabulka kvalifikace'!D7</f>
        <v>1</v>
      </c>
      <c r="BD70" s="36">
        <f>'Tabulka kvalifikace'!AD7</f>
        <v>0</v>
      </c>
      <c r="BF70" s="1">
        <f>IF(BC70="",$BD$67,(IF(BC70=0,$BD$67,BB70)))</f>
        <v>1</v>
      </c>
      <c r="BH70" s="1">
        <f>SMALL($BF$70:$BF$139,BB70)</f>
        <v>1</v>
      </c>
      <c r="BK70" s="1">
        <f>IF(BH70=$BD$67,"",(INDEX($BC$70:$BC$139,BH70)))</f>
        <v>1</v>
      </c>
      <c r="BL70" s="1">
        <f>IF(BH70=$BD$67,"",(INDEX($BD$70:$BD$139,BH70)))</f>
        <v>0</v>
      </c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3"/>
      <c r="CO70" s="73"/>
      <c r="CP70" s="73"/>
      <c r="CQ70"/>
      <c r="CR70"/>
      <c r="CS70" s="135"/>
      <c r="CT70"/>
      <c r="CU70" s="135"/>
      <c r="CV70"/>
      <c r="DI70" s="36"/>
      <c r="DM70" s="36">
        <f t="shared" si="25"/>
        <v>16</v>
      </c>
      <c r="DN70" s="36">
        <f>'Tabulka kvalifikace'!D22</f>
        <v>0</v>
      </c>
      <c r="DV70" s="36"/>
      <c r="ED70" s="36">
        <f>'Tabulka kvalifikace'!AD22</f>
        <v>0</v>
      </c>
      <c r="EE70"/>
      <c r="EF70" s="36">
        <f t="shared" si="21"/>
        <v>99</v>
      </c>
      <c r="EG70"/>
      <c r="EH70" s="36">
        <f t="shared" si="22"/>
        <v>99</v>
      </c>
      <c r="EI70"/>
      <c r="EJ70" s="36" t="str">
        <f t="shared" si="23"/>
        <v/>
      </c>
      <c r="EK70" s="36" t="str">
        <f t="shared" si="24"/>
        <v/>
      </c>
      <c r="EL70"/>
      <c r="EM70"/>
      <c r="EO70"/>
      <c r="GA70" s="36">
        <f>AR70*AR73</f>
        <v>0</v>
      </c>
      <c r="GB70" s="36">
        <f>AQ70*AR73</f>
        <v>1</v>
      </c>
      <c r="GC70" s="36">
        <f>AQ70*AQ73</f>
        <v>0</v>
      </c>
    </row>
    <row r="71" spans="1:197" hidden="1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AG71" s="36"/>
      <c r="BB71" s="36">
        <f>BB70+1</f>
        <v>2</v>
      </c>
      <c r="BC71" s="36">
        <f>'Tabulka kvalifikace'!D8</f>
        <v>0</v>
      </c>
      <c r="BD71" s="36">
        <f>'Tabulka kvalifikace'!AD8</f>
        <v>0</v>
      </c>
      <c r="BF71" s="1">
        <f t="shared" ref="BF71:BF139" si="26">IF(BC71="",$BD$67,(IF(BC71=0,$BD$67,BB71)))</f>
        <v>999</v>
      </c>
      <c r="BH71" s="1">
        <f t="shared" ref="BH71:BH139" si="27">SMALL($BF$70:$BF$139,BB71)</f>
        <v>3</v>
      </c>
      <c r="BK71" s="1">
        <f t="shared" ref="BK71:BK139" si="28">IF(BH71=$BD$67,"",(INDEX($BC$70:$BC$139,BH71)))</f>
        <v>0</v>
      </c>
      <c r="BL71" s="1">
        <f t="shared" ref="BL71:BL139" si="29">IF(BH71=$BD$67,"",(INDEX($BD$70:$BD$139,BH71)))</f>
        <v>0</v>
      </c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3"/>
      <c r="CO71" s="73"/>
      <c r="CP71" s="73"/>
      <c r="CQ71"/>
      <c r="CR71"/>
      <c r="CS71" s="135"/>
      <c r="CT71"/>
      <c r="CU71" s="135"/>
      <c r="CV71"/>
      <c r="DI71" s="36"/>
      <c r="DM71" s="36">
        <f t="shared" si="25"/>
        <v>17</v>
      </c>
      <c r="DN71" s="36" t="str">
        <f>'Tabulka kvalifikace'!D23</f>
        <v/>
      </c>
      <c r="DV71" s="36"/>
      <c r="ED71" s="36">
        <f>'Tabulka kvalifikace'!AD23</f>
        <v>0</v>
      </c>
      <c r="EE71"/>
      <c r="EF71" s="36">
        <f t="shared" si="21"/>
        <v>99</v>
      </c>
      <c r="EG71"/>
      <c r="EH71" s="36">
        <f t="shared" si="22"/>
        <v>99</v>
      </c>
      <c r="EI71"/>
      <c r="EJ71" s="36" t="str">
        <f t="shared" si="23"/>
        <v/>
      </c>
      <c r="EK71" s="36" t="str">
        <f t="shared" si="24"/>
        <v/>
      </c>
      <c r="EL71"/>
      <c r="EM71"/>
      <c r="EO71"/>
      <c r="GA71" s="36"/>
      <c r="GB71" s="36"/>
      <c r="GC71" s="36"/>
    </row>
    <row r="72" spans="1:197" hidden="1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AG72" s="36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3"/>
      <c r="CO72" s="73"/>
      <c r="CP72" s="73"/>
      <c r="CQ72"/>
      <c r="CR72"/>
      <c r="CS72" s="135"/>
      <c r="CT72"/>
      <c r="CU72" s="135"/>
      <c r="CV72"/>
      <c r="DI72" s="36"/>
      <c r="DV72" s="36"/>
      <c r="EE72"/>
      <c r="EG72"/>
      <c r="EI72"/>
      <c r="EL72"/>
      <c r="EM72"/>
      <c r="EO72"/>
      <c r="GA72" s="36"/>
      <c r="GB72" s="36"/>
      <c r="GC72" s="36"/>
    </row>
    <row r="73" spans="1:197" hidden="1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AG73" s="36"/>
      <c r="AJ73" s="278" t="str">
        <f>[2]Soutěž!$E$7</f>
        <v>Bojovat o 5. místo</v>
      </c>
      <c r="AP73" s="36">
        <f>[2]Soutěž!$H$7</f>
        <v>0</v>
      </c>
      <c r="AQ73" s="36">
        <f>IF(AP73="x",1,0)</f>
        <v>0</v>
      </c>
      <c r="AR73" s="36">
        <f>IF(AP73="x",0,1)</f>
        <v>1</v>
      </c>
      <c r="BB73" s="36">
        <f>BB71+1</f>
        <v>3</v>
      </c>
      <c r="BC73" s="36">
        <f>'Tabulka kvalifikace'!D9</f>
        <v>2</v>
      </c>
      <c r="BD73" s="36">
        <f>'Tabulka kvalifikace'!AD9</f>
        <v>0</v>
      </c>
      <c r="BF73" s="1">
        <f t="shared" si="26"/>
        <v>3</v>
      </c>
      <c r="BH73" s="1">
        <f t="shared" si="27"/>
        <v>5</v>
      </c>
      <c r="BK73" s="1">
        <f t="shared" si="28"/>
        <v>0</v>
      </c>
      <c r="BL73" s="1">
        <f t="shared" si="29"/>
        <v>0</v>
      </c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3"/>
      <c r="CO73" s="73"/>
      <c r="CP73" s="73"/>
      <c r="CQ73"/>
      <c r="CR73"/>
      <c r="CS73" s="135"/>
      <c r="CT73"/>
      <c r="CU73" s="135"/>
      <c r="CV73"/>
      <c r="DI73" s="36"/>
      <c r="DM73" s="36">
        <f>DM71+1</f>
        <v>18</v>
      </c>
      <c r="DN73" s="36">
        <f>'Tabulka kvalifikace'!D24</f>
        <v>0</v>
      </c>
      <c r="DV73" s="36"/>
      <c r="ED73" s="36">
        <f>'Tabulka kvalifikace'!AD24</f>
        <v>0</v>
      </c>
      <c r="EE73"/>
      <c r="EF73" s="36">
        <f t="shared" si="21"/>
        <v>99</v>
      </c>
      <c r="EG73"/>
      <c r="EH73" s="36">
        <f t="shared" si="22"/>
        <v>99</v>
      </c>
      <c r="EI73"/>
      <c r="EJ73" s="36" t="str">
        <f t="shared" si="23"/>
        <v/>
      </c>
      <c r="EK73" s="36" t="str">
        <f t="shared" si="24"/>
        <v/>
      </c>
      <c r="EL73"/>
      <c r="EM73"/>
      <c r="EO73"/>
    </row>
    <row r="74" spans="1:197" hidden="1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AG74" s="36"/>
      <c r="AJ74" s="278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3"/>
      <c r="CO74" s="73"/>
      <c r="CP74" s="73"/>
      <c r="CQ74"/>
      <c r="CR74"/>
      <c r="CS74" s="135"/>
      <c r="CT74"/>
      <c r="CU74" s="135"/>
      <c r="CV74"/>
      <c r="DI74" s="36"/>
      <c r="DV74" s="36"/>
      <c r="EE74"/>
      <c r="EG74"/>
      <c r="EI74"/>
      <c r="EL74"/>
      <c r="EM74"/>
      <c r="EO74"/>
      <c r="GB74" s="487" t="s">
        <v>57</v>
      </c>
      <c r="GC74" s="487"/>
      <c r="GD74" s="487"/>
      <c r="GE74" s="487"/>
      <c r="GF74" s="487"/>
      <c r="GM74" s="1" t="s">
        <v>63</v>
      </c>
      <c r="GN74" s="36">
        <f>D36</f>
        <v>2</v>
      </c>
      <c r="GO74" s="36">
        <v>1</v>
      </c>
    </row>
    <row r="75" spans="1:197" hidden="1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AG75" s="36"/>
      <c r="AJ75" s="278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3"/>
      <c r="CO75" s="73"/>
      <c r="CP75" s="73"/>
      <c r="CQ75"/>
      <c r="CR75"/>
      <c r="CS75" s="135"/>
      <c r="CT75"/>
      <c r="CU75" s="135"/>
      <c r="CV75"/>
      <c r="DI75" s="36"/>
      <c r="DV75" s="36"/>
      <c r="EE75"/>
      <c r="EG75"/>
      <c r="EI75"/>
      <c r="EL75"/>
      <c r="EM75"/>
      <c r="EO75"/>
      <c r="GA75" s="317" t="str">
        <f t="shared" ref="GA75:GF75" si="30">GA88</f>
        <v>los</v>
      </c>
      <c r="GB75" s="317" t="str">
        <f t="shared" si="30"/>
        <v>body</v>
      </c>
      <c r="GC75" s="317" t="str">
        <f t="shared" si="30"/>
        <v>tech. body</v>
      </c>
      <c r="GD75" s="317" t="str">
        <f t="shared" si="30"/>
        <v>lopatky</v>
      </c>
      <c r="GE75" s="317" t="str">
        <f t="shared" si="30"/>
        <v>tech. přev.</v>
      </c>
      <c r="GF75" s="317" t="str">
        <f t="shared" si="30"/>
        <v>výh. na body</v>
      </c>
      <c r="GG75" s="317" t="s">
        <v>59</v>
      </c>
      <c r="GM75" s="1" t="s">
        <v>63</v>
      </c>
      <c r="GN75" s="36">
        <f>D38</f>
        <v>4</v>
      </c>
      <c r="GO75" s="36">
        <v>1</v>
      </c>
    </row>
    <row r="76" spans="1:197" hidden="1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AG76" s="36"/>
      <c r="AJ76" s="278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3"/>
      <c r="CO76" s="73"/>
      <c r="CP76" s="73"/>
      <c r="CQ76"/>
      <c r="CR76"/>
      <c r="CS76" s="135"/>
      <c r="CT76"/>
      <c r="CU76" s="135"/>
      <c r="CV76"/>
      <c r="DI76" s="36"/>
      <c r="DV76" s="36"/>
      <c r="EE76"/>
      <c r="EG76"/>
      <c r="EI76"/>
      <c r="EL76"/>
      <c r="EM76"/>
      <c r="EO76"/>
      <c r="GA76" s="317"/>
      <c r="GB76" s="317"/>
      <c r="GC76" s="317"/>
      <c r="GD76" s="317"/>
      <c r="GE76" s="317"/>
      <c r="GF76" s="317"/>
      <c r="GG76" s="317"/>
      <c r="GM76" s="1" t="s">
        <v>62</v>
      </c>
      <c r="GN76" s="36">
        <f>D46</f>
        <v>1</v>
      </c>
      <c r="GO76" s="36">
        <v>2</v>
      </c>
    </row>
    <row r="77" spans="1:197" hidden="1" x14ac:dyDescent="0.25">
      <c r="AG77" s="36"/>
      <c r="BB77" s="36">
        <f>BB73+1</f>
        <v>4</v>
      </c>
      <c r="BC77" s="36">
        <f>'Tabulka kvalifikace'!D10</f>
        <v>0</v>
      </c>
      <c r="BD77" s="36">
        <f>'Tabulka kvalifikace'!AD10</f>
        <v>0</v>
      </c>
      <c r="BF77" s="1">
        <f t="shared" si="26"/>
        <v>999</v>
      </c>
      <c r="BH77" s="1">
        <f t="shared" si="27"/>
        <v>33</v>
      </c>
      <c r="BK77" s="1" t="str">
        <f t="shared" si="28"/>
        <v/>
      </c>
      <c r="BL77" s="1">
        <f t="shared" si="29"/>
        <v>0</v>
      </c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3"/>
      <c r="CO77" s="73"/>
      <c r="CP77" s="73"/>
      <c r="CQ77"/>
      <c r="CR77"/>
      <c r="CS77" s="135"/>
      <c r="CT77"/>
      <c r="CU77" s="135"/>
      <c r="CV77"/>
      <c r="DI77" s="36"/>
      <c r="DM77" s="36">
        <f>DM73+1</f>
        <v>19</v>
      </c>
      <c r="DN77" s="36" t="str">
        <f>'Tabulka kvalifikace'!D25</f>
        <v/>
      </c>
      <c r="DV77" s="36"/>
      <c r="ED77" s="36">
        <f>'Tabulka kvalifikace'!AD25</f>
        <v>0</v>
      </c>
      <c r="EE77"/>
      <c r="EF77" s="36">
        <f t="shared" si="21"/>
        <v>99</v>
      </c>
      <c r="EG77"/>
      <c r="EH77" s="36">
        <f t="shared" si="22"/>
        <v>99</v>
      </c>
      <c r="EI77"/>
      <c r="EJ77" s="36" t="str">
        <f t="shared" si="23"/>
        <v/>
      </c>
      <c r="EK77" s="36" t="str">
        <f t="shared" si="24"/>
        <v/>
      </c>
      <c r="EL77"/>
      <c r="EM77"/>
      <c r="EO77"/>
      <c r="GA77" s="317"/>
      <c r="GB77" s="317"/>
      <c r="GC77" s="317"/>
      <c r="GD77" s="317"/>
      <c r="GE77" s="317"/>
      <c r="GF77" s="317"/>
      <c r="GG77" s="317"/>
      <c r="GM77" s="1" t="s">
        <v>62</v>
      </c>
      <c r="GN77" s="36">
        <f>D48</f>
        <v>5</v>
      </c>
      <c r="GO77" s="36">
        <v>2</v>
      </c>
    </row>
    <row r="78" spans="1:197" hidden="1" x14ac:dyDescent="0.25">
      <c r="AG78" s="36"/>
      <c r="AN78" s="294" t="s">
        <v>53</v>
      </c>
      <c r="AO78" s="294"/>
      <c r="AP78" s="294"/>
      <c r="AQ78" s="294"/>
      <c r="AU78" s="294" t="s">
        <v>54</v>
      </c>
      <c r="AV78" s="294"/>
      <c r="AW78" s="294"/>
      <c r="AX78" s="294"/>
      <c r="AY78" s="294"/>
      <c r="AZ78" s="294"/>
      <c r="BB78" s="36">
        <f t="shared" ref="BB78:BB139" si="31">BB77+1</f>
        <v>5</v>
      </c>
      <c r="BC78" s="36">
        <f>'Tabulka kvalifikace'!D11</f>
        <v>3</v>
      </c>
      <c r="BD78" s="36">
        <f>'Tabulka kvalifikace'!AD11</f>
        <v>0</v>
      </c>
      <c r="BF78" s="1">
        <f t="shared" si="26"/>
        <v>5</v>
      </c>
      <c r="BH78" s="1">
        <f t="shared" si="27"/>
        <v>35</v>
      </c>
      <c r="BK78" s="1" t="str">
        <f t="shared" si="28"/>
        <v/>
      </c>
      <c r="BL78" s="1">
        <f t="shared" si="29"/>
        <v>0</v>
      </c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3"/>
      <c r="CO78" s="73"/>
      <c r="CP78" s="73"/>
      <c r="CQ78"/>
      <c r="CR78"/>
      <c r="CS78" s="135"/>
      <c r="CT78"/>
      <c r="CU78" s="135"/>
      <c r="CV78"/>
      <c r="DI78" s="36"/>
      <c r="DM78" s="36">
        <f t="shared" si="25"/>
        <v>20</v>
      </c>
      <c r="DN78" s="36">
        <f>'Tabulka kvalifikace'!D26</f>
        <v>0</v>
      </c>
      <c r="DV78" s="36"/>
      <c r="ED78" s="36">
        <f>'Tabulka kvalifikace'!AD26</f>
        <v>0</v>
      </c>
      <c r="EE78"/>
      <c r="EF78" s="36">
        <f t="shared" si="21"/>
        <v>99</v>
      </c>
      <c r="EG78"/>
      <c r="EH78" s="36">
        <f t="shared" si="22"/>
        <v>99</v>
      </c>
      <c r="EI78"/>
      <c r="EJ78" s="36" t="str">
        <f t="shared" si="23"/>
        <v/>
      </c>
      <c r="EK78" s="36" t="str">
        <f t="shared" si="24"/>
        <v/>
      </c>
      <c r="EL78"/>
      <c r="EM78"/>
      <c r="EO78"/>
      <c r="GA78" s="317"/>
      <c r="GB78" s="317"/>
      <c r="GC78" s="317"/>
      <c r="GD78" s="317"/>
      <c r="GE78" s="317"/>
      <c r="GF78" s="317"/>
      <c r="GG78" s="317"/>
      <c r="GM78" s="1" t="s">
        <v>61</v>
      </c>
      <c r="GN78" s="36">
        <f>D56</f>
        <v>3</v>
      </c>
      <c r="GO78" s="36">
        <v>4</v>
      </c>
    </row>
    <row r="79" spans="1:197" hidden="1" x14ac:dyDescent="0.25">
      <c r="AG79" s="36"/>
      <c r="AK79" s="136" t="str">
        <f>AM10</f>
        <v>xxx</v>
      </c>
      <c r="AN79" s="36">
        <v>1</v>
      </c>
      <c r="AO79" s="36">
        <v>2</v>
      </c>
      <c r="AP79" s="36">
        <v>3</v>
      </c>
      <c r="AQ79" s="279" t="s">
        <v>52</v>
      </c>
      <c r="AV79" s="36">
        <v>1</v>
      </c>
      <c r="AW79" s="36">
        <v>2</v>
      </c>
      <c r="AX79" s="36">
        <v>3</v>
      </c>
      <c r="AY79" s="279" t="s">
        <v>52</v>
      </c>
      <c r="BB79" s="36">
        <f t="shared" si="31"/>
        <v>6</v>
      </c>
      <c r="BC79" s="36">
        <f>'Tabulka kvalifikace'!D12</f>
        <v>0</v>
      </c>
      <c r="BD79" s="36">
        <f>'Tabulka kvalifikace'!AD12</f>
        <v>0</v>
      </c>
      <c r="BF79" s="1">
        <f t="shared" si="26"/>
        <v>999</v>
      </c>
      <c r="BH79" s="1">
        <f t="shared" si="27"/>
        <v>37</v>
      </c>
      <c r="BK79" s="1" t="str">
        <f t="shared" si="28"/>
        <v/>
      </c>
      <c r="BL79" s="1">
        <f t="shared" si="29"/>
        <v>0</v>
      </c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3"/>
      <c r="CO79" s="73"/>
      <c r="CP79" s="73"/>
      <c r="CQ79"/>
      <c r="CR79"/>
      <c r="CS79" s="135"/>
      <c r="CT79"/>
      <c r="CU79" s="135"/>
      <c r="CV79"/>
      <c r="DI79" s="36"/>
      <c r="DM79" s="36">
        <f t="shared" si="25"/>
        <v>21</v>
      </c>
      <c r="DN79" s="36" t="str">
        <f>'Tabulka kvalifikace'!D27</f>
        <v/>
      </c>
      <c r="DV79" s="36"/>
      <c r="ED79" s="36">
        <f>'Tabulka kvalifikace'!AD27</f>
        <v>0</v>
      </c>
      <c r="EE79"/>
      <c r="EF79" s="36">
        <f t="shared" si="21"/>
        <v>99</v>
      </c>
      <c r="EG79"/>
      <c r="EH79" s="36">
        <f t="shared" si="22"/>
        <v>99</v>
      </c>
      <c r="EI79"/>
      <c r="EJ79" s="36" t="str">
        <f t="shared" si="23"/>
        <v/>
      </c>
      <c r="EK79" s="36" t="str">
        <f t="shared" si="24"/>
        <v/>
      </c>
      <c r="EL79"/>
      <c r="EM79"/>
      <c r="EO79"/>
      <c r="GA79" s="317"/>
      <c r="GB79" s="317"/>
      <c r="GC79" s="317"/>
      <c r="GD79" s="317"/>
      <c r="GE79" s="317"/>
      <c r="GF79" s="317"/>
      <c r="GG79" s="317"/>
      <c r="GM79" s="1" t="s">
        <v>61</v>
      </c>
      <c r="GN79" s="36">
        <f>D58</f>
        <v>6</v>
      </c>
      <c r="GO79" s="36">
        <v>4</v>
      </c>
    </row>
    <row r="80" spans="1:197" hidden="1" x14ac:dyDescent="0.25">
      <c r="AG80" s="36"/>
      <c r="AL80" s="136">
        <f>D10</f>
        <v>1</v>
      </c>
      <c r="AN80" s="140">
        <f>IF($AM$10=$AK$79,0,($AN$10))</f>
        <v>0</v>
      </c>
      <c r="AO80" s="85">
        <f>IF($AR$10=$AK$79,0,($AS$10))</f>
        <v>0</v>
      </c>
      <c r="AP80" s="85"/>
      <c r="AQ80" s="141">
        <f t="shared" ref="AQ80:AQ85" si="32">SUM(AN80:AP80)</f>
        <v>0</v>
      </c>
      <c r="AV80" s="140">
        <f>IF($AM$10=$AK$79,0,($AN$11))</f>
        <v>0</v>
      </c>
      <c r="AW80" s="85">
        <f>IF($AR$10=$AK$79,0,($AS$11))</f>
        <v>0</v>
      </c>
      <c r="AX80" s="85"/>
      <c r="AY80" s="141">
        <f t="shared" ref="AY80:AY85" si="33">SUM(AV80:AX80)</f>
        <v>0</v>
      </c>
      <c r="BB80" s="36">
        <f t="shared" si="31"/>
        <v>7</v>
      </c>
      <c r="BC80" s="36" t="str">
        <f>'Tabulka kvalifikace'!D13</f>
        <v/>
      </c>
      <c r="BD80" s="36">
        <f>'Tabulka kvalifikace'!AD13</f>
        <v>0</v>
      </c>
      <c r="BF80" s="1">
        <f t="shared" si="26"/>
        <v>999</v>
      </c>
      <c r="BH80" s="1">
        <f t="shared" si="27"/>
        <v>999</v>
      </c>
      <c r="BK80" s="1" t="str">
        <f t="shared" si="28"/>
        <v/>
      </c>
      <c r="BL80" s="1" t="str">
        <f t="shared" si="29"/>
        <v/>
      </c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3"/>
      <c r="CO80" s="73"/>
      <c r="CP80" s="73"/>
      <c r="CQ80"/>
      <c r="CR80"/>
      <c r="CS80" s="135"/>
      <c r="CT80"/>
      <c r="CU80" s="135"/>
      <c r="CV80"/>
      <c r="DI80" s="36"/>
      <c r="DM80" s="36">
        <f t="shared" si="25"/>
        <v>22</v>
      </c>
      <c r="DN80" s="36">
        <f>'Tabulka kvalifikace'!D28</f>
        <v>0</v>
      </c>
      <c r="DV80" s="36"/>
      <c r="ED80" s="36">
        <f>'Tabulka kvalifikace'!AD28</f>
        <v>0</v>
      </c>
      <c r="EE80"/>
      <c r="EF80" s="36">
        <f t="shared" si="21"/>
        <v>99</v>
      </c>
      <c r="EG80"/>
      <c r="EH80" s="36">
        <f t="shared" si="22"/>
        <v>99</v>
      </c>
      <c r="EI80"/>
      <c r="EJ80" s="36" t="str">
        <f t="shared" si="23"/>
        <v/>
      </c>
      <c r="EK80" s="36" t="str">
        <f t="shared" si="24"/>
        <v/>
      </c>
      <c r="EL80"/>
      <c r="EM80"/>
      <c r="EO80"/>
      <c r="GA80" s="280">
        <f t="shared" ref="GA80:GA85" si="34">AL80</f>
        <v>1</v>
      </c>
      <c r="GB80" s="36">
        <f t="shared" ref="GB80:GB85" si="35">AQ80</f>
        <v>0</v>
      </c>
      <c r="GC80" s="36">
        <f t="shared" ref="GC80:GC85" si="36">AY80</f>
        <v>0</v>
      </c>
      <c r="GD80" s="36">
        <f t="shared" ref="GD80:GD85" si="37">IF(AN80=5,1,0)+IF(AO80=5,1,0)+IF(AP80=5,1,0)</f>
        <v>0</v>
      </c>
      <c r="GE80" s="36">
        <f t="shared" ref="GE80:GE85" si="38">IF(AN80=4,1,0)+IF(AO80=4,1,0)+IF(AP80=4,1,0)</f>
        <v>0</v>
      </c>
      <c r="GF80" s="36">
        <f t="shared" ref="GF80:GF85" si="39">IF(AN80=3,1,0)+IF(AO80=3,1,0)+IF(AP80=3,1,0)</f>
        <v>0</v>
      </c>
      <c r="GG80" s="36">
        <f>IF(AN80&lt;AN81,1,0)+IF(AO80&lt;AO82,1,0)</f>
        <v>0</v>
      </c>
    </row>
    <row r="81" spans="4:342" hidden="1" x14ac:dyDescent="0.25">
      <c r="AG81" s="36"/>
      <c r="AL81" s="136">
        <f>D12</f>
        <v>2</v>
      </c>
      <c r="AN81" s="138">
        <f>IF($AM$12=$AK$79,0,($AN$12))</f>
        <v>0</v>
      </c>
      <c r="AP81" s="36">
        <f>IF($AW$12=$AK$79,0,($AX$12))</f>
        <v>0</v>
      </c>
      <c r="AQ81" s="149">
        <f t="shared" si="32"/>
        <v>0</v>
      </c>
      <c r="AV81" s="138">
        <f>IF($AM$12=$AK$79,0,($AN$13))</f>
        <v>0</v>
      </c>
      <c r="AX81" s="36">
        <f>IF($AW$12=$AK$79,0,($AX$13))</f>
        <v>0</v>
      </c>
      <c r="AY81" s="149">
        <f t="shared" si="33"/>
        <v>0</v>
      </c>
      <c r="BB81" s="36">
        <f t="shared" si="31"/>
        <v>8</v>
      </c>
      <c r="BC81" s="36">
        <f>'Tabulka kvalifikace'!D14</f>
        <v>0</v>
      </c>
      <c r="BD81" s="36">
        <f>'Tabulka kvalifikace'!AD14</f>
        <v>0</v>
      </c>
      <c r="BF81" s="1">
        <f t="shared" si="26"/>
        <v>999</v>
      </c>
      <c r="BH81" s="1">
        <f t="shared" si="27"/>
        <v>999</v>
      </c>
      <c r="BK81" s="1" t="str">
        <f t="shared" si="28"/>
        <v/>
      </c>
      <c r="BL81" s="1" t="str">
        <f t="shared" si="29"/>
        <v/>
      </c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3"/>
      <c r="CO81" s="73"/>
      <c r="CP81" s="73"/>
      <c r="CQ81"/>
      <c r="CR81"/>
      <c r="CS81" s="135"/>
      <c r="CT81"/>
      <c r="CU81" s="135"/>
      <c r="CV81"/>
      <c r="DI81" s="36"/>
      <c r="DM81" s="36">
        <f t="shared" si="25"/>
        <v>23</v>
      </c>
      <c r="DN81" s="36" t="str">
        <f>'Tabulka kvalifikace'!D29</f>
        <v/>
      </c>
      <c r="DV81" s="36"/>
      <c r="ED81" s="36">
        <f>'Tabulka kvalifikace'!AD29</f>
        <v>0</v>
      </c>
      <c r="EE81"/>
      <c r="EF81" s="36">
        <f t="shared" si="21"/>
        <v>99</v>
      </c>
      <c r="EG81"/>
      <c r="EH81" s="36">
        <f t="shared" si="22"/>
        <v>99</v>
      </c>
      <c r="EI81"/>
      <c r="EJ81" s="36" t="str">
        <f t="shared" si="23"/>
        <v/>
      </c>
      <c r="EK81" s="36" t="str">
        <f t="shared" si="24"/>
        <v/>
      </c>
      <c r="EL81"/>
      <c r="EM81"/>
      <c r="EO81"/>
      <c r="GA81" s="280">
        <f t="shared" si="34"/>
        <v>2</v>
      </c>
      <c r="GB81" s="36">
        <f t="shared" si="35"/>
        <v>0</v>
      </c>
      <c r="GC81" s="36">
        <f t="shared" si="36"/>
        <v>0</v>
      </c>
      <c r="GD81" s="36">
        <f t="shared" si="37"/>
        <v>0</v>
      </c>
      <c r="GE81" s="36">
        <f t="shared" si="38"/>
        <v>0</v>
      </c>
      <c r="GF81" s="36">
        <f t="shared" si="39"/>
        <v>0</v>
      </c>
      <c r="GG81" s="36">
        <f>IF(AN81&lt;AN80,1,0)+IF(AP81&lt;AP82,1,0)</f>
        <v>0</v>
      </c>
    </row>
    <row r="82" spans="4:342" hidden="1" x14ac:dyDescent="0.25">
      <c r="AG82" s="36"/>
      <c r="AL82" s="136">
        <f>D14</f>
        <v>3</v>
      </c>
      <c r="AN82" s="138"/>
      <c r="AO82" s="36">
        <f>IF($AR$14=$AK$79,0,($AS$14))</f>
        <v>0</v>
      </c>
      <c r="AP82" s="36">
        <f>IF($AW$14=$AK$79,0,($AX$14))</f>
        <v>0</v>
      </c>
      <c r="AQ82" s="149">
        <f t="shared" si="32"/>
        <v>0</v>
      </c>
      <c r="AV82" s="138"/>
      <c r="AW82" s="36">
        <f>IF($AR$14=$AK$79,0,($AS$15))</f>
        <v>0</v>
      </c>
      <c r="AX82" s="36">
        <f>IF($AW$14=$AK$79,0,($AX$15))</f>
        <v>0</v>
      </c>
      <c r="AY82" s="149">
        <f t="shared" si="33"/>
        <v>0</v>
      </c>
      <c r="BB82" s="36">
        <f t="shared" si="31"/>
        <v>9</v>
      </c>
      <c r="BC82" s="36" t="str">
        <f>'Tabulka kvalifikace'!D15</f>
        <v/>
      </c>
      <c r="BD82" s="36">
        <f>'Tabulka kvalifikace'!AD15</f>
        <v>0</v>
      </c>
      <c r="BF82" s="1">
        <f t="shared" si="26"/>
        <v>999</v>
      </c>
      <c r="BH82" s="1">
        <f t="shared" si="27"/>
        <v>999</v>
      </c>
      <c r="BK82" s="1" t="str">
        <f t="shared" si="28"/>
        <v/>
      </c>
      <c r="BL82" s="1" t="str">
        <f t="shared" si="29"/>
        <v/>
      </c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3"/>
      <c r="CO82" s="73"/>
      <c r="CP82" s="73"/>
      <c r="CQ82"/>
      <c r="CR82"/>
      <c r="CS82" s="135"/>
      <c r="CT82"/>
      <c r="CU82" s="135"/>
      <c r="CV82"/>
      <c r="DI82" s="36"/>
      <c r="DM82" s="36">
        <f t="shared" si="25"/>
        <v>24</v>
      </c>
      <c r="DN82" s="36">
        <f>'Tabulka kvalifikace'!D30</f>
        <v>0</v>
      </c>
      <c r="DV82" s="36"/>
      <c r="ED82" s="36">
        <f>'Tabulka kvalifikace'!AD30</f>
        <v>0</v>
      </c>
      <c r="EE82"/>
      <c r="EF82" s="36">
        <f t="shared" si="21"/>
        <v>99</v>
      </c>
      <c r="EG82"/>
      <c r="EH82" s="36">
        <f t="shared" si="22"/>
        <v>99</v>
      </c>
      <c r="EI82"/>
      <c r="EJ82" s="36" t="str">
        <f t="shared" si="23"/>
        <v/>
      </c>
      <c r="EK82" s="36" t="str">
        <f t="shared" si="24"/>
        <v/>
      </c>
      <c r="EL82"/>
      <c r="EM82"/>
      <c r="EO82"/>
      <c r="GA82" s="280">
        <f t="shared" si="34"/>
        <v>3</v>
      </c>
      <c r="GB82" s="36">
        <f t="shared" si="35"/>
        <v>0</v>
      </c>
      <c r="GC82" s="36">
        <f t="shared" si="36"/>
        <v>0</v>
      </c>
      <c r="GD82" s="36">
        <f t="shared" si="37"/>
        <v>0</v>
      </c>
      <c r="GE82" s="36">
        <f t="shared" si="38"/>
        <v>0</v>
      </c>
      <c r="GF82" s="36">
        <f t="shared" si="39"/>
        <v>0</v>
      </c>
      <c r="GG82" s="36">
        <f>IF(AO82&lt;AO80,1,0)+IF(AP82&lt;AP81,1,0)</f>
        <v>0</v>
      </c>
    </row>
    <row r="83" spans="4:342" hidden="1" x14ac:dyDescent="0.25">
      <c r="AG83" s="36"/>
      <c r="AL83" s="136">
        <f>D22</f>
        <v>4</v>
      </c>
      <c r="AN83" s="138">
        <f>IF($AM$22=$AK$79,0,($AN$22))</f>
        <v>0</v>
      </c>
      <c r="AO83" s="36">
        <f>IF($AR$22=$AK$79,0,($AS$22))</f>
        <v>0</v>
      </c>
      <c r="AQ83" s="149">
        <f t="shared" si="32"/>
        <v>0</v>
      </c>
      <c r="AV83" s="138">
        <f>IF($AM$22=$AK$79,0,($AN$23))</f>
        <v>0</v>
      </c>
      <c r="AW83" s="36">
        <f>IF($AR$22=$AK$79,0,($AS$23))</f>
        <v>0</v>
      </c>
      <c r="AY83" s="149">
        <f t="shared" si="33"/>
        <v>0</v>
      </c>
      <c r="BB83" s="36">
        <f t="shared" si="31"/>
        <v>10</v>
      </c>
      <c r="BC83" s="36">
        <f>'Tabulka kvalifikace'!D16</f>
        <v>0</v>
      </c>
      <c r="BD83" s="36">
        <f>'Tabulka kvalifikace'!AD16</f>
        <v>0</v>
      </c>
      <c r="BF83" s="1">
        <f t="shared" si="26"/>
        <v>999</v>
      </c>
      <c r="BH83" s="1">
        <f t="shared" si="27"/>
        <v>999</v>
      </c>
      <c r="BK83" s="1" t="str">
        <f t="shared" si="28"/>
        <v/>
      </c>
      <c r="BL83" s="1" t="str">
        <f t="shared" si="29"/>
        <v/>
      </c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3"/>
      <c r="CO83" s="73"/>
      <c r="CP83" s="73"/>
      <c r="CQ83"/>
      <c r="CR83"/>
      <c r="CS83" s="135"/>
      <c r="CT83"/>
      <c r="CU83" s="135"/>
      <c r="CV83"/>
      <c r="DI83" s="36"/>
      <c r="DM83" s="36">
        <f t="shared" si="25"/>
        <v>25</v>
      </c>
      <c r="DN83" s="36" t="str">
        <f>'Tabulka kvalifikace'!D31</f>
        <v/>
      </c>
      <c r="DV83" s="36"/>
      <c r="ED83" s="36">
        <f>'Tabulka kvalifikace'!AD31</f>
        <v>0</v>
      </c>
      <c r="EE83"/>
      <c r="EF83" s="36">
        <f t="shared" si="21"/>
        <v>99</v>
      </c>
      <c r="EG83"/>
      <c r="EH83" s="36">
        <f t="shared" si="22"/>
        <v>99</v>
      </c>
      <c r="EI83"/>
      <c r="EJ83" s="36" t="str">
        <f t="shared" si="23"/>
        <v/>
      </c>
      <c r="EK83" s="36" t="str">
        <f t="shared" si="24"/>
        <v/>
      </c>
      <c r="EL83"/>
      <c r="EM83"/>
      <c r="EO83"/>
      <c r="GA83" s="280">
        <f t="shared" si="34"/>
        <v>4</v>
      </c>
      <c r="GB83" s="36">
        <f t="shared" si="35"/>
        <v>0</v>
      </c>
      <c r="GC83" s="36">
        <f t="shared" si="36"/>
        <v>0</v>
      </c>
      <c r="GD83" s="36">
        <f t="shared" si="37"/>
        <v>0</v>
      </c>
      <c r="GE83" s="36">
        <f t="shared" si="38"/>
        <v>0</v>
      </c>
      <c r="GF83" s="36">
        <f t="shared" si="39"/>
        <v>0</v>
      </c>
      <c r="GG83" s="36">
        <f>IF(AN83&lt;AN84,1,0)+IF(AO83&lt;AO85,1,0)</f>
        <v>0</v>
      </c>
    </row>
    <row r="84" spans="4:342" hidden="1" x14ac:dyDescent="0.25">
      <c r="AG84" s="36"/>
      <c r="AL84" s="136">
        <f>D24</f>
        <v>5</v>
      </c>
      <c r="AN84" s="138">
        <f>IF($AM$24=$AK$79,0,($AN$24))</f>
        <v>0</v>
      </c>
      <c r="AP84" s="36">
        <f>IF($AW$24=$AK$79,0,($AX$24))</f>
        <v>0</v>
      </c>
      <c r="AQ84" s="149">
        <f t="shared" si="32"/>
        <v>0</v>
      </c>
      <c r="AV84" s="138">
        <f>IF($AM$24=$AK$79,0,($AN$25))</f>
        <v>0</v>
      </c>
      <c r="AX84" s="36">
        <f>IF($AW$24=$AK$79,0,($AX$25))</f>
        <v>0</v>
      </c>
      <c r="AY84" s="149">
        <f t="shared" si="33"/>
        <v>0</v>
      </c>
      <c r="BB84" s="36">
        <f t="shared" si="31"/>
        <v>11</v>
      </c>
      <c r="BC84" s="36" t="str">
        <f>'Tabulka kvalifikace'!D17</f>
        <v/>
      </c>
      <c r="BD84" s="36">
        <f>'Tabulka kvalifikace'!AD17</f>
        <v>0</v>
      </c>
      <c r="BF84" s="1">
        <f t="shared" si="26"/>
        <v>999</v>
      </c>
      <c r="BH84" s="1">
        <f t="shared" si="27"/>
        <v>999</v>
      </c>
      <c r="BK84" s="1" t="str">
        <f t="shared" si="28"/>
        <v/>
      </c>
      <c r="BL84" s="1" t="str">
        <f t="shared" si="29"/>
        <v/>
      </c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3"/>
      <c r="CO84" s="73"/>
      <c r="CP84" s="73"/>
      <c r="CQ84"/>
      <c r="CR84"/>
      <c r="CS84" s="135"/>
      <c r="CT84"/>
      <c r="CU84" s="135"/>
      <c r="CV84"/>
      <c r="DI84" s="36"/>
      <c r="DM84" s="36">
        <f t="shared" si="25"/>
        <v>26</v>
      </c>
      <c r="DN84" s="36">
        <f>'Tabulka kvalifikace'!D32</f>
        <v>0</v>
      </c>
      <c r="DV84" s="36"/>
      <c r="ED84" s="36">
        <f>'Tabulka kvalifikace'!AD32</f>
        <v>0</v>
      </c>
      <c r="EE84"/>
      <c r="EF84" s="36">
        <f t="shared" si="21"/>
        <v>99</v>
      </c>
      <c r="EG84"/>
      <c r="EH84" s="36">
        <f t="shared" si="22"/>
        <v>99</v>
      </c>
      <c r="EI84"/>
      <c r="EJ84" s="36" t="str">
        <f t="shared" si="23"/>
        <v/>
      </c>
      <c r="EK84" s="36" t="str">
        <f t="shared" si="24"/>
        <v/>
      </c>
      <c r="EL84"/>
      <c r="EM84"/>
      <c r="EO84"/>
      <c r="GA84" s="280">
        <f t="shared" si="34"/>
        <v>5</v>
      </c>
      <c r="GB84" s="36">
        <f t="shared" si="35"/>
        <v>0</v>
      </c>
      <c r="GC84" s="36">
        <f t="shared" si="36"/>
        <v>0</v>
      </c>
      <c r="GD84" s="36">
        <f t="shared" si="37"/>
        <v>0</v>
      </c>
      <c r="GE84" s="36">
        <f t="shared" si="38"/>
        <v>0</v>
      </c>
      <c r="GF84" s="36">
        <f t="shared" si="39"/>
        <v>0</v>
      </c>
      <c r="GG84" s="36">
        <f>IF(AN84&lt;AN83,1,0)+IF(AP84&lt;AP85,1,0)</f>
        <v>0</v>
      </c>
      <c r="HS84" s="288" t="s">
        <v>70</v>
      </c>
      <c r="HT84" s="288"/>
    </row>
    <row r="85" spans="4:342" hidden="1" x14ac:dyDescent="0.25">
      <c r="AG85" s="36"/>
      <c r="AL85" s="136">
        <f>D26</f>
        <v>6</v>
      </c>
      <c r="AN85" s="142"/>
      <c r="AO85" s="83">
        <f>IF($AR$26=$AK$79,0,($AS$26))</f>
        <v>0</v>
      </c>
      <c r="AP85" s="83">
        <f>IF($AW$26=$AK$79,0,($AX$26))</f>
        <v>0</v>
      </c>
      <c r="AQ85" s="143">
        <f t="shared" si="32"/>
        <v>0</v>
      </c>
      <c r="AV85" s="142"/>
      <c r="AW85" s="83">
        <f>IF($AR$26=$AK$79,0,($AS$27))</f>
        <v>0</v>
      </c>
      <c r="AX85" s="83">
        <f>IF($AW$26=$AK$79,0,($AX$27))</f>
        <v>0</v>
      </c>
      <c r="AY85" s="143">
        <f t="shared" si="33"/>
        <v>0</v>
      </c>
      <c r="BB85" s="36">
        <f t="shared" si="31"/>
        <v>12</v>
      </c>
      <c r="BC85" s="36">
        <f>'Tabulka kvalifikace'!D18</f>
        <v>0</v>
      </c>
      <c r="BD85" s="36">
        <f>'Tabulka kvalifikace'!AD18</f>
        <v>0</v>
      </c>
      <c r="BF85" s="1">
        <f t="shared" si="26"/>
        <v>999</v>
      </c>
      <c r="BH85" s="1">
        <f t="shared" si="27"/>
        <v>999</v>
      </c>
      <c r="BK85" s="1" t="str">
        <f t="shared" si="28"/>
        <v/>
      </c>
      <c r="BL85" s="1" t="str">
        <f t="shared" si="29"/>
        <v/>
      </c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3"/>
      <c r="CO85" s="73"/>
      <c r="CP85" s="73"/>
      <c r="CQ85"/>
      <c r="CR85"/>
      <c r="CS85" s="135"/>
      <c r="CT85"/>
      <c r="CU85" s="135"/>
      <c r="CV85"/>
      <c r="DI85" s="36"/>
      <c r="DM85" s="36">
        <f t="shared" si="25"/>
        <v>27</v>
      </c>
      <c r="DN85" s="36" t="str">
        <f>'Tabulka kvalifikace'!D33</f>
        <v/>
      </c>
      <c r="DV85" s="36"/>
      <c r="ED85" s="36">
        <f>'Tabulka kvalifikace'!AD33</f>
        <v>0</v>
      </c>
      <c r="EE85"/>
      <c r="EF85" s="36">
        <f t="shared" si="21"/>
        <v>99</v>
      </c>
      <c r="EG85"/>
      <c r="EH85" s="36">
        <f t="shared" si="22"/>
        <v>99</v>
      </c>
      <c r="EI85"/>
      <c r="EJ85" s="36" t="str">
        <f t="shared" si="23"/>
        <v/>
      </c>
      <c r="EK85" s="36" t="str">
        <f t="shared" si="24"/>
        <v/>
      </c>
      <c r="EL85"/>
      <c r="EM85"/>
      <c r="EO85"/>
      <c r="GA85" s="280">
        <f t="shared" si="34"/>
        <v>6</v>
      </c>
      <c r="GB85" s="36">
        <f t="shared" si="35"/>
        <v>0</v>
      </c>
      <c r="GC85" s="36">
        <f t="shared" si="36"/>
        <v>0</v>
      </c>
      <c r="GD85" s="36">
        <f t="shared" si="37"/>
        <v>0</v>
      </c>
      <c r="GE85" s="36">
        <f t="shared" si="38"/>
        <v>0</v>
      </c>
      <c r="GF85" s="36">
        <f t="shared" si="39"/>
        <v>0</v>
      </c>
      <c r="GG85" s="36">
        <f>IF(AO85&lt;AO83,1,0)+IF(AP85&lt;AP84,1,0)</f>
        <v>0</v>
      </c>
      <c r="HS85" s="288" t="s">
        <v>71</v>
      </c>
      <c r="HT85" s="288"/>
    </row>
    <row r="86" spans="4:342" hidden="1" x14ac:dyDescent="0.25">
      <c r="AG86" s="36"/>
      <c r="AL86" s="13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3"/>
      <c r="CO86" s="73"/>
      <c r="CP86" s="73"/>
      <c r="CQ86"/>
      <c r="CR86"/>
      <c r="CS86" s="135"/>
      <c r="CT86"/>
      <c r="CU86" s="135"/>
      <c r="CV86"/>
      <c r="DI86" s="36"/>
      <c r="DV86" s="36"/>
      <c r="EE86"/>
      <c r="EG86"/>
      <c r="EI86"/>
      <c r="EL86"/>
      <c r="EM86"/>
      <c r="EO86"/>
      <c r="GB86" s="36"/>
      <c r="GC86" s="36"/>
      <c r="GD86" s="36"/>
      <c r="GE86" s="36"/>
      <c r="GF86" s="36"/>
      <c r="HS86" s="63" t="str">
        <f>Q32</f>
        <v>- - -</v>
      </c>
      <c r="HT86" s="36">
        <f>IF(HS86="- - -",0,1)</f>
        <v>0</v>
      </c>
    </row>
    <row r="87" spans="4:342" hidden="1" x14ac:dyDescent="0.25">
      <c r="AG87" s="36"/>
      <c r="AL87" s="136"/>
      <c r="AY87" s="294" t="s">
        <v>55</v>
      </c>
      <c r="AZ87" s="294"/>
      <c r="BA87" s="294"/>
      <c r="BB87" s="294"/>
      <c r="BC87" s="294"/>
      <c r="BD87" s="294"/>
      <c r="BE87" s="294"/>
      <c r="BF87" s="294"/>
      <c r="BG87" s="294"/>
      <c r="BH87" s="294"/>
      <c r="BI87" s="294"/>
      <c r="BJ87" s="294"/>
      <c r="BK87" s="294"/>
      <c r="BL87" s="294"/>
      <c r="BM87" s="294"/>
      <c r="BN87" s="294"/>
      <c r="BO87" s="294"/>
      <c r="BP87" s="294"/>
      <c r="BQ87" s="294"/>
      <c r="BR87" s="294"/>
      <c r="BS87" s="294"/>
      <c r="BT87" s="294"/>
      <c r="BU87" s="294"/>
      <c r="BV87" s="294"/>
      <c r="BW87" s="294"/>
      <c r="BX87" s="294"/>
      <c r="BY87" s="294"/>
      <c r="BZ87" s="294"/>
      <c r="CA87" s="294"/>
      <c r="CB87" s="294"/>
      <c r="CC87" s="294"/>
      <c r="CD87" s="294"/>
      <c r="CE87" s="294"/>
      <c r="CF87" s="294"/>
      <c r="CG87" s="294"/>
      <c r="CH87" s="294"/>
      <c r="CI87" s="294"/>
      <c r="CJ87" s="294"/>
      <c r="CK87" s="294"/>
      <c r="CL87" s="294"/>
      <c r="CM87" s="294"/>
      <c r="CN87" s="294"/>
      <c r="CO87" s="294"/>
      <c r="CP87" s="294"/>
      <c r="CQ87" s="294"/>
      <c r="CR87" s="294"/>
      <c r="CS87" s="294"/>
      <c r="CT87" s="294"/>
      <c r="CU87" s="294"/>
      <c r="CV87" s="294"/>
      <c r="CW87" s="294"/>
      <c r="CX87" s="294"/>
      <c r="CY87" s="294"/>
      <c r="CZ87" s="294"/>
      <c r="DA87" s="294"/>
      <c r="DB87" s="294"/>
      <c r="DC87" s="294"/>
      <c r="DD87" s="294"/>
      <c r="DE87" s="294"/>
      <c r="DF87" s="294"/>
      <c r="DG87" s="294"/>
      <c r="DH87" s="294"/>
      <c r="DI87" s="294"/>
      <c r="DJ87" s="294"/>
      <c r="DK87" s="294"/>
      <c r="DL87" s="294"/>
      <c r="DM87" s="294"/>
      <c r="DN87" s="294"/>
      <c r="DO87" s="294"/>
      <c r="DP87" s="294"/>
      <c r="DQ87" s="294"/>
      <c r="DR87" s="294"/>
      <c r="DS87" s="294"/>
      <c r="DT87" s="294"/>
      <c r="DU87" s="294"/>
      <c r="DV87" s="294"/>
      <c r="DW87" s="294"/>
      <c r="DX87" s="294"/>
      <c r="DY87" s="294"/>
      <c r="DZ87" s="294"/>
      <c r="EA87" s="294"/>
      <c r="EB87" s="294"/>
      <c r="EC87" s="294"/>
      <c r="ED87" s="294"/>
      <c r="EE87" s="294"/>
      <c r="EF87" s="294"/>
      <c r="EG87" s="294"/>
      <c r="EH87" s="294"/>
      <c r="EI87" s="294"/>
      <c r="EJ87" s="294"/>
      <c r="EK87" s="294"/>
      <c r="EL87" s="294"/>
      <c r="EM87" s="294"/>
      <c r="EN87" s="294"/>
      <c r="EO87" s="294"/>
      <c r="EP87" s="294"/>
      <c r="EQ87" s="294"/>
      <c r="ER87" s="294"/>
      <c r="ES87" s="294"/>
      <c r="ET87" s="294"/>
      <c r="EU87" s="294"/>
      <c r="EV87" s="294"/>
      <c r="EW87" s="294"/>
      <c r="EX87" s="294"/>
      <c r="EY87" s="294"/>
      <c r="EZ87" s="294"/>
      <c r="FA87" s="294"/>
      <c r="FB87" s="294"/>
      <c r="FC87" s="294"/>
      <c r="FD87" s="294"/>
      <c r="FE87" s="294"/>
      <c r="FF87" s="294"/>
      <c r="FG87" s="294"/>
      <c r="FH87" s="294"/>
      <c r="FI87" s="294"/>
      <c r="FJ87" s="294"/>
      <c r="FK87" s="294"/>
      <c r="FL87" s="294"/>
      <c r="FM87" s="294"/>
      <c r="FN87" s="294"/>
      <c r="FO87" s="294"/>
      <c r="FP87" s="294"/>
      <c r="FQ87" s="294"/>
      <c r="FR87" s="294"/>
      <c r="FS87" s="294"/>
      <c r="FT87" s="294"/>
      <c r="FU87" s="294"/>
      <c r="FV87" s="294"/>
      <c r="FW87" s="294"/>
      <c r="FX87" s="294"/>
      <c r="FY87" s="294"/>
      <c r="FZ87" s="294"/>
      <c r="GA87" s="294"/>
      <c r="GB87" s="294"/>
      <c r="GC87" s="294"/>
      <c r="GD87" s="294"/>
      <c r="GE87" s="294"/>
      <c r="GF87" s="294"/>
      <c r="GG87" s="294"/>
      <c r="GI87" s="487" t="s">
        <v>56</v>
      </c>
      <c r="GJ87" s="487"/>
      <c r="GK87" s="487"/>
      <c r="GL87" s="487"/>
      <c r="GM87" s="487"/>
      <c r="GN87" s="487"/>
      <c r="GO87" s="487"/>
      <c r="GR87" s="294" t="s">
        <v>58</v>
      </c>
      <c r="GS87" s="294"/>
      <c r="GT87" s="294"/>
      <c r="GU87" s="294"/>
      <c r="GV87" s="294"/>
      <c r="GW87" s="294"/>
      <c r="GX87" s="294"/>
      <c r="GY87" s="294"/>
      <c r="GZ87" s="56"/>
      <c r="HA87" s="56"/>
      <c r="HB87" s="56"/>
      <c r="HC87" s="56"/>
      <c r="HD87" s="56"/>
      <c r="HE87" s="56"/>
      <c r="HF87" s="56"/>
      <c r="HG87" s="56"/>
      <c r="HH87" s="56"/>
      <c r="HI87" s="56"/>
      <c r="HJ87" s="56"/>
      <c r="HK87" s="56"/>
      <c r="HL87" s="56"/>
      <c r="HM87" s="56"/>
      <c r="HN87" s="56"/>
      <c r="HO87" s="56"/>
      <c r="HP87" s="56"/>
      <c r="HQ87" s="56"/>
      <c r="HR87" s="56"/>
      <c r="HS87" s="56"/>
      <c r="HT87" s="56"/>
      <c r="HU87" s="56"/>
      <c r="HV87" s="56"/>
      <c r="HW87" s="56"/>
      <c r="HX87" s="56"/>
      <c r="HY87" s="56"/>
      <c r="HZ87" s="56"/>
      <c r="IA87" s="56"/>
      <c r="IB87" s="56"/>
      <c r="IC87" s="56"/>
      <c r="ID87" s="56"/>
      <c r="IE87" s="56"/>
      <c r="IF87" s="56"/>
      <c r="IG87" s="56"/>
      <c r="IH87" s="56"/>
      <c r="II87" s="56"/>
      <c r="IJ87" s="56"/>
      <c r="IK87" s="56"/>
      <c r="IL87" s="56"/>
      <c r="IM87" s="56"/>
      <c r="IN87" s="56"/>
      <c r="IO87" s="56"/>
      <c r="IP87" s="56"/>
      <c r="IQ87" s="56"/>
      <c r="IR87" s="56"/>
      <c r="IS87" s="56"/>
      <c r="IT87" s="56"/>
      <c r="IU87" s="56"/>
      <c r="IV87" s="56"/>
      <c r="IW87" s="56"/>
      <c r="IX87" s="56"/>
      <c r="IY87" s="56"/>
      <c r="IZ87" s="56"/>
      <c r="JA87" s="56"/>
      <c r="JB87" s="56"/>
      <c r="JC87" s="56"/>
      <c r="JD87" s="56"/>
      <c r="JE87" s="56"/>
      <c r="JF87" s="56"/>
      <c r="JG87" s="56"/>
      <c r="JH87" s="56"/>
      <c r="JI87" s="56"/>
      <c r="JJ87" s="56"/>
      <c r="JK87" s="56"/>
      <c r="JL87" s="56"/>
      <c r="JM87" s="56"/>
      <c r="JN87" s="56"/>
      <c r="JO87" s="56"/>
      <c r="JP87" s="56"/>
      <c r="JQ87" s="56"/>
      <c r="JR87" s="56"/>
      <c r="JS87" s="56"/>
      <c r="JT87" s="56"/>
      <c r="JU87" s="56"/>
      <c r="JV87" s="56"/>
      <c r="JW87" s="56"/>
      <c r="JX87" s="56"/>
      <c r="JY87" s="56"/>
      <c r="JZ87" s="56"/>
      <c r="KA87" s="56"/>
      <c r="KB87" s="56"/>
      <c r="KC87" s="56"/>
      <c r="KD87" s="56"/>
      <c r="KE87" s="56"/>
      <c r="KF87" s="56"/>
      <c r="KG87" s="56"/>
      <c r="KH87" s="56"/>
      <c r="KI87" s="56"/>
      <c r="KJ87" s="56"/>
      <c r="KK87" s="56"/>
      <c r="KL87" s="56"/>
      <c r="KM87" s="56"/>
      <c r="KN87" s="56"/>
      <c r="KO87" s="56"/>
      <c r="KP87" s="56"/>
      <c r="KQ87" s="56"/>
      <c r="KR87" s="56"/>
      <c r="KS87" s="56"/>
      <c r="KT87" s="56"/>
      <c r="KU87" s="56"/>
      <c r="KV87" s="56"/>
      <c r="KW87" s="56"/>
      <c r="KX87" s="56"/>
      <c r="KY87" s="56"/>
      <c r="KZ87" s="56"/>
      <c r="LA87" s="56"/>
      <c r="LB87" s="56"/>
      <c r="LC87" s="56"/>
      <c r="LD87" s="56"/>
      <c r="LE87" s="56"/>
      <c r="LF87" s="56"/>
      <c r="LG87" s="56"/>
      <c r="LH87" s="56"/>
      <c r="LI87" s="56"/>
      <c r="LJ87" s="56"/>
      <c r="LK87" s="56"/>
      <c r="LL87" s="56"/>
      <c r="LM87" s="56"/>
      <c r="LN87" s="56"/>
      <c r="LO87" s="56"/>
      <c r="LP87" s="56"/>
      <c r="LQ87" s="56"/>
      <c r="LR87" s="56"/>
      <c r="LS87" s="56"/>
      <c r="LT87" s="56"/>
      <c r="LU87" s="56"/>
      <c r="LV87" s="56"/>
      <c r="LW87" s="56"/>
      <c r="LX87" s="56"/>
      <c r="LY87" s="56"/>
      <c r="LZ87" s="56"/>
      <c r="MA87" s="56"/>
      <c r="MB87" s="56"/>
      <c r="MC87" s="56"/>
      <c r="MD87" s="56"/>
    </row>
    <row r="88" spans="4:342" ht="12.75" hidden="1" customHeight="1" x14ac:dyDescent="0.25">
      <c r="D88"/>
      <c r="R88"/>
      <c r="V88"/>
      <c r="W88"/>
      <c r="X88"/>
      <c r="AG88" s="36"/>
      <c r="BB88" s="36">
        <f>BB85+1</f>
        <v>13</v>
      </c>
      <c r="BC88" s="36" t="str">
        <f>'Tabulka kvalifikace'!D19</f>
        <v/>
      </c>
      <c r="BD88" s="36">
        <f>'Tabulka kvalifikace'!AD19</f>
        <v>0</v>
      </c>
      <c r="BF88" s="1">
        <f t="shared" si="26"/>
        <v>999</v>
      </c>
      <c r="BH88" s="1">
        <f t="shared" si="27"/>
        <v>999</v>
      </c>
      <c r="BK88" s="1" t="str">
        <f t="shared" si="28"/>
        <v/>
      </c>
      <c r="BL88" s="1" t="str">
        <f t="shared" si="29"/>
        <v/>
      </c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3"/>
      <c r="CO88" s="73"/>
      <c r="CP88" s="73"/>
      <c r="CQ88"/>
      <c r="CR88"/>
      <c r="CS88" s="135"/>
      <c r="CT88"/>
      <c r="CU88" s="135"/>
      <c r="CV88"/>
      <c r="DI88" s="36"/>
      <c r="DM88" s="36">
        <f>DM85+1</f>
        <v>28</v>
      </c>
      <c r="DN88" s="36">
        <f>'Tabulka kvalifikace'!D34</f>
        <v>0</v>
      </c>
      <c r="DV88" s="36"/>
      <c r="ED88" s="36">
        <f>'Tabulka kvalifikace'!AD34</f>
        <v>0</v>
      </c>
      <c r="EE88"/>
      <c r="EF88" s="36">
        <f t="shared" si="21"/>
        <v>99</v>
      </c>
      <c r="EG88"/>
      <c r="EH88" s="36">
        <f t="shared" si="22"/>
        <v>99</v>
      </c>
      <c r="EI88"/>
      <c r="EJ88" s="36" t="str">
        <f t="shared" si="23"/>
        <v/>
      </c>
      <c r="EK88" s="36" t="str">
        <f t="shared" si="24"/>
        <v/>
      </c>
      <c r="EL88"/>
      <c r="EM88"/>
      <c r="EO88"/>
      <c r="GA88" s="317" t="str">
        <f>'Tabulka kvalifikace'!DJ77</f>
        <v>los</v>
      </c>
      <c r="GB88" s="317" t="str">
        <f>'Tabulka kvalifikace'!DL77</f>
        <v>body</v>
      </c>
      <c r="GC88" s="317" t="str">
        <f>'Tabulka kvalifikace'!DM77</f>
        <v>tech. body</v>
      </c>
      <c r="GD88" s="317" t="str">
        <f>'Tabulka kvalifikace'!DS77</f>
        <v>lopatky</v>
      </c>
      <c r="GE88" s="317" t="str">
        <f>'Tabulka kvalifikace'!DT77</f>
        <v>tech. přev.</v>
      </c>
      <c r="GF88" s="317" t="str">
        <f>GY88</f>
        <v>výh. na body</v>
      </c>
      <c r="GG88" s="317" t="str">
        <f>'Tabulka kvalifikace'!DV75</f>
        <v>doplněk proher</v>
      </c>
      <c r="GH88" s="317" t="str">
        <f>'Tabulka kvalifikace'!DW74</f>
        <v>dvě a vice proher</v>
      </c>
      <c r="GI88" s="489" t="s">
        <v>1</v>
      </c>
      <c r="GJ88" s="491" t="str">
        <f>GI88</f>
        <v>finále</v>
      </c>
      <c r="GK88" s="490" t="str">
        <f t="shared" ref="GK88:GP88" si="40">GB75</f>
        <v>body</v>
      </c>
      <c r="GL88" s="317" t="str">
        <f t="shared" si="40"/>
        <v>tech. body</v>
      </c>
      <c r="GM88" s="317" t="str">
        <f t="shared" si="40"/>
        <v>lopatky</v>
      </c>
      <c r="GN88" s="317" t="str">
        <f t="shared" si="40"/>
        <v>tech. přev.</v>
      </c>
      <c r="GO88" s="317" t="str">
        <f t="shared" si="40"/>
        <v>výh. na body</v>
      </c>
      <c r="GP88" s="489" t="str">
        <f t="shared" si="40"/>
        <v>prohra</v>
      </c>
      <c r="GQ88" s="491" t="str">
        <f>GJ88</f>
        <v>finále</v>
      </c>
      <c r="GR88" s="138"/>
      <c r="GS88" s="36"/>
      <c r="GT88" s="317" t="str">
        <f>GA88</f>
        <v>los</v>
      </c>
      <c r="GU88" s="317" t="str">
        <f>GK88</f>
        <v>body</v>
      </c>
      <c r="GV88" s="317" t="str">
        <f>GL88</f>
        <v>tech. body</v>
      </c>
      <c r="GW88" s="317" t="str">
        <f>GM88</f>
        <v>lopatky</v>
      </c>
      <c r="GX88" s="317" t="str">
        <f>GN88</f>
        <v>tech. přev.</v>
      </c>
      <c r="GY88" s="317" t="s">
        <v>64</v>
      </c>
      <c r="GZ88" s="317" t="str">
        <f>GP88</f>
        <v>prohra</v>
      </c>
      <c r="HA88">
        <f>'Tabulka kvalifikace'!DX76</f>
        <v>10000000000</v>
      </c>
      <c r="HC88" s="1"/>
      <c r="HD88" s="1"/>
      <c r="HE88" s="1"/>
      <c r="HF88" s="1"/>
      <c r="HG88" s="1"/>
      <c r="HH88" s="36"/>
      <c r="HI88" s="36"/>
      <c r="HJ88" s="36"/>
      <c r="HK88" s="36"/>
      <c r="HL88" s="36"/>
      <c r="HM88" s="36"/>
      <c r="HN88" s="36"/>
      <c r="HO88" s="36"/>
      <c r="HP88" s="36"/>
      <c r="HQ88" s="36"/>
      <c r="HR88" s="36"/>
      <c r="HS88" s="36"/>
      <c r="HW88" s="487" t="s">
        <v>66</v>
      </c>
      <c r="HX88" s="487"/>
      <c r="HY88" s="487"/>
      <c r="IK88" s="73"/>
      <c r="IL88" s="73"/>
      <c r="IM88" s="73"/>
      <c r="IX88" s="36"/>
      <c r="IY88" s="36"/>
      <c r="IZ88" s="36"/>
      <c r="JA88" s="36"/>
      <c r="JB88" s="36"/>
      <c r="JC88" s="36"/>
      <c r="JD88" s="36"/>
      <c r="JE88" s="36"/>
      <c r="JF88" s="36"/>
      <c r="JG88" s="36"/>
      <c r="JH88" s="36"/>
      <c r="JI88" s="36"/>
      <c r="JJ88" s="36">
        <f>JJ85+1</f>
        <v>1</v>
      </c>
      <c r="JK88" s="36">
        <f>'Tabulka kvalifikace'!EU34</f>
        <v>0</v>
      </c>
      <c r="JN88" s="36"/>
      <c r="JR88" s="36"/>
      <c r="JS88" s="36"/>
      <c r="JU88" s="135"/>
      <c r="JX88" s="36"/>
      <c r="JY88" s="36"/>
      <c r="JZ88" s="36"/>
      <c r="KA88" s="36">
        <f>'Tabulka kvalifikace'!FU34</f>
        <v>0</v>
      </c>
      <c r="KC88" s="36">
        <f>IF(JK88="",$EF$52,(IF(JK88=0,$EF$52,JJ88)))</f>
        <v>99</v>
      </c>
      <c r="KE88" s="36">
        <f>SMALL($EF$55:$EF$124,JJ88)</f>
        <v>1</v>
      </c>
      <c r="KG88" s="36">
        <f>IF(KE88=99,"",(INDEX($DN$55:$DN$124,KE88)))</f>
        <v>1</v>
      </c>
      <c r="KH88" s="36">
        <f>IF(KE88=99,"",(INDEX($ED$55:$ED$124,KE88)))</f>
        <v>0</v>
      </c>
      <c r="LX88" s="317">
        <f>'Tabulka kvalifikace'!JA77</f>
        <v>0</v>
      </c>
      <c r="LY88" s="317">
        <f>'Tabulka kvalifikace'!JC77</f>
        <v>0</v>
      </c>
      <c r="LZ88" s="317">
        <f>'Tabulka kvalifikace'!JD77</f>
        <v>0</v>
      </c>
      <c r="MA88" s="317">
        <f>'Tabulka kvalifikace'!JJ77</f>
        <v>0</v>
      </c>
      <c r="MB88" s="317">
        <f>'Tabulka kvalifikace'!JK77</f>
        <v>0</v>
      </c>
      <c r="MC88" s="317">
        <f>'Tabulka kvalifikace'!JL77</f>
        <v>0</v>
      </c>
      <c r="MD88" s="317">
        <f>'Tabulka kvalifikace'!JM75</f>
        <v>23</v>
      </c>
    </row>
    <row r="89" spans="4:342" hidden="1" x14ac:dyDescent="0.25">
      <c r="D89"/>
      <c r="R89"/>
      <c r="V89"/>
      <c r="W89"/>
      <c r="X89"/>
      <c r="BB89" s="36">
        <f t="shared" si="31"/>
        <v>14</v>
      </c>
      <c r="BC89" s="36">
        <f>'Tabulka kvalifikace'!D20</f>
        <v>0</v>
      </c>
      <c r="BD89" s="36">
        <f>'Tabulka kvalifikace'!AD20</f>
        <v>0</v>
      </c>
      <c r="BF89" s="1">
        <f t="shared" si="26"/>
        <v>999</v>
      </c>
      <c r="BH89" s="1">
        <f t="shared" si="27"/>
        <v>999</v>
      </c>
      <c r="BK89" s="1" t="str">
        <f t="shared" si="28"/>
        <v/>
      </c>
      <c r="BL89" s="1" t="str">
        <f t="shared" si="29"/>
        <v/>
      </c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3"/>
      <c r="CO89" s="73"/>
      <c r="CP89" s="73"/>
      <c r="CQ89"/>
      <c r="CR89"/>
      <c r="CS89" s="135"/>
      <c r="CT89"/>
      <c r="CU89" s="135"/>
      <c r="CV89"/>
      <c r="DI89" s="36"/>
      <c r="DM89" s="36">
        <f t="shared" si="25"/>
        <v>29</v>
      </c>
      <c r="DN89" s="36" t="str">
        <f>'Tabulka kvalifikace'!D35</f>
        <v/>
      </c>
      <c r="DV89" s="36"/>
      <c r="ED89" s="36">
        <f>'Tabulka kvalifikace'!AD35</f>
        <v>0</v>
      </c>
      <c r="EE89"/>
      <c r="EF89" s="36">
        <f t="shared" si="21"/>
        <v>99</v>
      </c>
      <c r="EG89"/>
      <c r="EH89" s="36">
        <f t="shared" si="22"/>
        <v>99</v>
      </c>
      <c r="EI89"/>
      <c r="EJ89" s="36" t="str">
        <f t="shared" si="23"/>
        <v/>
      </c>
      <c r="EK89" s="36" t="str">
        <f t="shared" si="24"/>
        <v/>
      </c>
      <c r="EL89"/>
      <c r="EM89"/>
      <c r="EO89"/>
      <c r="GA89" s="317"/>
      <c r="GB89" s="317"/>
      <c r="GC89" s="317"/>
      <c r="GD89" s="317"/>
      <c r="GE89" s="317"/>
      <c r="GF89" s="317"/>
      <c r="GG89" s="317"/>
      <c r="GH89" s="317"/>
      <c r="GI89" s="489"/>
      <c r="GJ89" s="491"/>
      <c r="GK89" s="490"/>
      <c r="GL89" s="317"/>
      <c r="GM89" s="317"/>
      <c r="GN89" s="317"/>
      <c r="GO89" s="317"/>
      <c r="GP89" s="489"/>
      <c r="GQ89" s="491"/>
      <c r="GR89" s="138"/>
      <c r="GS89" s="36"/>
      <c r="GT89" s="317"/>
      <c r="GU89" s="317"/>
      <c r="GV89" s="317"/>
      <c r="GW89" s="317"/>
      <c r="GX89" s="317"/>
      <c r="GY89" s="317"/>
      <c r="GZ89" s="317"/>
      <c r="HA89" s="1"/>
      <c r="HB89" s="1"/>
      <c r="HC89" s="1"/>
      <c r="HD89" s="1"/>
      <c r="HE89" s="1"/>
      <c r="HF89" s="1"/>
      <c r="HG89" s="1"/>
      <c r="HH89" s="36"/>
      <c r="HI89" s="36"/>
      <c r="HJ89" s="36"/>
      <c r="HK89" s="36"/>
      <c r="HL89" s="36"/>
      <c r="HM89" s="36"/>
      <c r="HN89" s="36"/>
      <c r="HO89" s="36"/>
      <c r="HP89" s="36"/>
      <c r="HQ89" s="36"/>
      <c r="HR89" s="36"/>
      <c r="HS89" s="36"/>
      <c r="IK89" s="73"/>
      <c r="IL89" s="73"/>
      <c r="IM89" s="73"/>
      <c r="IX89" s="36"/>
      <c r="IY89" s="36"/>
      <c r="IZ89" s="36"/>
      <c r="JA89" s="36"/>
      <c r="JB89" s="36"/>
      <c r="JC89" s="36"/>
      <c r="JD89" s="36"/>
      <c r="JE89" s="36"/>
      <c r="JF89" s="36"/>
      <c r="JG89" s="36"/>
      <c r="JH89" s="36"/>
      <c r="JI89" s="36"/>
      <c r="JJ89" s="36">
        <f>JJ88+1</f>
        <v>2</v>
      </c>
      <c r="JK89" s="36">
        <f>'Tabulka kvalifikace'!EU35</f>
        <v>0</v>
      </c>
      <c r="JN89" s="36"/>
      <c r="JR89" s="36"/>
      <c r="JS89" s="36"/>
      <c r="JU89" s="135"/>
      <c r="JX89" s="36"/>
      <c r="JY89" s="36"/>
      <c r="JZ89" s="36"/>
      <c r="KA89" s="36">
        <f>'Tabulka kvalifikace'!FU35</f>
        <v>0</v>
      </c>
      <c r="KC89" s="36">
        <f>IF(JK89="",$EF$52,(IF(JK89=0,$EF$52,JJ89)))</f>
        <v>99</v>
      </c>
      <c r="KE89" s="36">
        <f>SMALL($EF$55:$EF$124,JJ89)</f>
        <v>3</v>
      </c>
      <c r="KG89" s="36">
        <f>IF(KE89=99,"",(INDEX($DN$55:$DN$124,KE89)))</f>
        <v>2</v>
      </c>
      <c r="KH89" s="36">
        <f>IF(KE89=99,"",(INDEX($ED$55:$ED$124,KE89)))</f>
        <v>0</v>
      </c>
      <c r="LX89" s="317"/>
      <c r="LY89" s="317"/>
      <c r="LZ89" s="317"/>
      <c r="MA89" s="317"/>
      <c r="MB89" s="317"/>
      <c r="MC89" s="317"/>
      <c r="MD89" s="317"/>
    </row>
    <row r="90" spans="4:342" hidden="1" x14ac:dyDescent="0.25">
      <c r="D90"/>
      <c r="R90"/>
      <c r="V90"/>
      <c r="W90"/>
      <c r="X90"/>
      <c r="BB90" s="36">
        <f t="shared" si="31"/>
        <v>15</v>
      </c>
      <c r="BC90" s="36" t="str">
        <f>'Tabulka kvalifikace'!D21</f>
        <v/>
      </c>
      <c r="BD90" s="36">
        <f>'Tabulka kvalifikace'!AD21</f>
        <v>0</v>
      </c>
      <c r="BF90" s="1">
        <f t="shared" si="26"/>
        <v>999</v>
      </c>
      <c r="BH90" s="1">
        <f t="shared" si="27"/>
        <v>999</v>
      </c>
      <c r="BK90" s="1" t="str">
        <f t="shared" si="28"/>
        <v/>
      </c>
      <c r="BL90" s="1" t="str">
        <f t="shared" si="29"/>
        <v/>
      </c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3"/>
      <c r="CO90" s="73"/>
      <c r="CP90" s="73"/>
      <c r="CQ90"/>
      <c r="CR90"/>
      <c r="CS90" s="135"/>
      <c r="CT90"/>
      <c r="CU90" s="135"/>
      <c r="CV90"/>
      <c r="DI90" s="36"/>
      <c r="DM90" s="36">
        <f t="shared" si="25"/>
        <v>30</v>
      </c>
      <c r="DN90" s="36">
        <f>'Tabulka kvalifikace'!D36</f>
        <v>0</v>
      </c>
      <c r="DV90" s="36"/>
      <c r="ED90" s="36">
        <f>'Tabulka kvalifikace'!AD36</f>
        <v>0</v>
      </c>
      <c r="EE90"/>
      <c r="EF90" s="36">
        <f t="shared" si="21"/>
        <v>99</v>
      </c>
      <c r="EG90"/>
      <c r="EH90" s="36">
        <f t="shared" si="22"/>
        <v>99</v>
      </c>
      <c r="EI90"/>
      <c r="EJ90" s="36" t="str">
        <f t="shared" si="23"/>
        <v/>
      </c>
      <c r="EK90" s="36" t="str">
        <f t="shared" si="24"/>
        <v/>
      </c>
      <c r="EL90"/>
      <c r="EM90"/>
      <c r="EO90"/>
      <c r="GA90" s="317"/>
      <c r="GB90" s="317"/>
      <c r="GC90" s="317"/>
      <c r="GD90" s="317"/>
      <c r="GE90" s="317"/>
      <c r="GF90" s="317"/>
      <c r="GG90" s="317"/>
      <c r="GH90" s="317"/>
      <c r="GI90" s="489"/>
      <c r="GJ90" s="491"/>
      <c r="GK90" s="490"/>
      <c r="GL90" s="317"/>
      <c r="GM90" s="317"/>
      <c r="GN90" s="317"/>
      <c r="GO90" s="317"/>
      <c r="GP90" s="489"/>
      <c r="GQ90" s="491"/>
      <c r="GR90" s="138"/>
      <c r="GS90" s="36"/>
      <c r="GT90" s="317"/>
      <c r="GU90" s="317"/>
      <c r="GV90" s="317"/>
      <c r="GW90" s="317"/>
      <c r="GX90" s="317"/>
      <c r="GY90" s="317"/>
      <c r="GZ90" s="317"/>
      <c r="HA90" s="1"/>
      <c r="HB90" s="1"/>
      <c r="HC90" s="1"/>
      <c r="HD90" s="1"/>
      <c r="HE90" s="1"/>
      <c r="HF90" s="1"/>
      <c r="HG90" s="1"/>
      <c r="HH90" s="36"/>
      <c r="HI90" s="36"/>
      <c r="HJ90" s="36"/>
      <c r="HK90" s="36"/>
      <c r="HL90" s="36"/>
      <c r="HM90" s="134">
        <v>10000</v>
      </c>
      <c r="HN90" s="36"/>
      <c r="HO90" s="36"/>
      <c r="HP90" s="36"/>
      <c r="HQ90" s="36"/>
      <c r="HR90" s="36"/>
      <c r="HS90" s="36"/>
      <c r="HW90" s="36" t="str">
        <f t="shared" ref="HW90:HY91" si="41">GA69</f>
        <v>bez</v>
      </c>
      <c r="HX90" s="36" t="str">
        <f t="shared" si="41"/>
        <v>jen 3 - 4</v>
      </c>
      <c r="HY90" s="36" t="str">
        <f t="shared" si="41"/>
        <v>obě</v>
      </c>
      <c r="IA90" s="36" t="s">
        <v>67</v>
      </c>
      <c r="IK90" s="73"/>
      <c r="IL90" s="73"/>
      <c r="IM90" s="73"/>
      <c r="IX90" s="36"/>
      <c r="IY90" s="36"/>
      <c r="IZ90" s="36"/>
      <c r="JA90" s="36"/>
      <c r="JB90" s="36"/>
      <c r="JC90" s="36"/>
      <c r="JD90" s="36"/>
      <c r="JE90" s="36"/>
      <c r="JF90" s="36"/>
      <c r="JG90" s="36"/>
      <c r="JH90" s="36"/>
      <c r="JI90" s="36"/>
      <c r="JJ90" s="36">
        <f>JJ89+1</f>
        <v>3</v>
      </c>
      <c r="JK90" s="36">
        <f>'Tabulka kvalifikace'!EU36</f>
        <v>0</v>
      </c>
      <c r="JN90" s="36"/>
      <c r="JR90" s="36"/>
      <c r="JS90" s="36"/>
      <c r="JU90" s="135"/>
      <c r="JX90" s="36"/>
      <c r="JY90" s="36"/>
      <c r="JZ90" s="36"/>
      <c r="KA90" s="36">
        <f>'Tabulka kvalifikace'!FU36</f>
        <v>0</v>
      </c>
      <c r="KC90" s="36">
        <f>IF(JK90="",$EF$52,(IF(JK90=0,$EF$52,JJ90)))</f>
        <v>99</v>
      </c>
      <c r="KE90" s="36">
        <f>SMALL($EF$55:$EF$124,JJ90)</f>
        <v>5</v>
      </c>
      <c r="KG90" s="36">
        <f>IF(KE90=99,"",(INDEX($DN$55:$DN$124,KE90)))</f>
        <v>3</v>
      </c>
      <c r="KH90" s="36">
        <f>IF(KE90=99,"",(INDEX($ED$55:$ED$124,KE90)))</f>
        <v>0</v>
      </c>
      <c r="LX90" s="317"/>
      <c r="LY90" s="317"/>
      <c r="LZ90" s="317"/>
      <c r="MA90" s="317"/>
      <c r="MB90" s="317"/>
      <c r="MC90" s="317"/>
      <c r="MD90" s="317"/>
    </row>
    <row r="91" spans="4:342" hidden="1" x14ac:dyDescent="0.25">
      <c r="D91"/>
      <c r="R91"/>
      <c r="V91"/>
      <c r="W91"/>
      <c r="X91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B91" s="36">
        <f t="shared" si="31"/>
        <v>16</v>
      </c>
      <c r="BC91" s="36">
        <f>'Tabulka kvalifikace'!D22</f>
        <v>0</v>
      </c>
      <c r="BD91" s="36">
        <f>'Tabulka kvalifikace'!AD22</f>
        <v>0</v>
      </c>
      <c r="BF91" s="1">
        <f t="shared" si="26"/>
        <v>999</v>
      </c>
      <c r="BH91" s="1">
        <f t="shared" si="27"/>
        <v>999</v>
      </c>
      <c r="BK91" s="1" t="str">
        <f t="shared" si="28"/>
        <v/>
      </c>
      <c r="BL91" s="1" t="str">
        <f t="shared" si="29"/>
        <v/>
      </c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3"/>
      <c r="CO91" s="73"/>
      <c r="CP91" s="73"/>
      <c r="CQ91"/>
      <c r="CR91"/>
      <c r="CS91" s="135"/>
      <c r="CT91"/>
      <c r="CU91" s="135"/>
      <c r="CV91"/>
      <c r="DI91" s="36"/>
      <c r="DM91" s="36">
        <f t="shared" si="25"/>
        <v>31</v>
      </c>
      <c r="DN91" s="36" t="str">
        <f>'Tabulka kvalifikace'!D37</f>
        <v/>
      </c>
      <c r="DV91" s="36"/>
      <c r="ED91" s="36">
        <f>'Tabulka kvalifikace'!AD37</f>
        <v>0</v>
      </c>
      <c r="EE91"/>
      <c r="EF91" s="36">
        <f t="shared" si="21"/>
        <v>99</v>
      </c>
      <c r="EG91"/>
      <c r="EH91" s="36">
        <f t="shared" si="22"/>
        <v>99</v>
      </c>
      <c r="EI91"/>
      <c r="EJ91" s="36" t="str">
        <f t="shared" si="23"/>
        <v/>
      </c>
      <c r="EK91" s="36" t="str">
        <f t="shared" si="24"/>
        <v/>
      </c>
      <c r="EL91"/>
      <c r="EM91"/>
      <c r="EO91"/>
      <c r="GA91" s="317"/>
      <c r="GB91" s="317"/>
      <c r="GC91" s="317"/>
      <c r="GD91" s="317"/>
      <c r="GE91" s="317"/>
      <c r="GF91" s="317"/>
      <c r="GG91" s="317"/>
      <c r="GH91" s="317"/>
      <c r="GI91" s="489"/>
      <c r="GJ91" s="491"/>
      <c r="GK91" s="490"/>
      <c r="GL91" s="317"/>
      <c r="GM91" s="317"/>
      <c r="GN91" s="317"/>
      <c r="GO91" s="317"/>
      <c r="GP91" s="489"/>
      <c r="GQ91" s="491"/>
      <c r="GR91" s="196"/>
      <c r="GS91" s="53"/>
      <c r="GT91" s="317"/>
      <c r="GU91" s="317"/>
      <c r="GV91" s="317"/>
      <c r="GW91" s="317"/>
      <c r="GX91" s="317"/>
      <c r="GY91" s="317"/>
      <c r="GZ91" s="317"/>
      <c r="HA91" s="1"/>
      <c r="HB91" s="1"/>
      <c r="HC91" s="1"/>
      <c r="HD91" s="1"/>
      <c r="HE91" s="1"/>
      <c r="HF91" s="1"/>
      <c r="HG91" s="1"/>
      <c r="HH91" s="36"/>
      <c r="HI91" s="36"/>
      <c r="HJ91" s="36"/>
      <c r="HK91" s="36"/>
      <c r="HL91" s="36"/>
      <c r="HM91" s="36"/>
      <c r="HN91" s="36"/>
      <c r="HO91" s="36"/>
      <c r="HP91" s="36"/>
      <c r="HQ91" s="36"/>
      <c r="HR91" s="36"/>
      <c r="HS91" s="288" t="s">
        <v>65</v>
      </c>
      <c r="HT91" s="288"/>
      <c r="HW91" s="36">
        <f t="shared" si="41"/>
        <v>0</v>
      </c>
      <c r="HX91" s="36">
        <f t="shared" si="41"/>
        <v>1</v>
      </c>
      <c r="HY91" s="36">
        <f t="shared" si="41"/>
        <v>0</v>
      </c>
      <c r="IK91" s="73"/>
      <c r="IL91" s="73"/>
      <c r="IM91" s="73"/>
      <c r="IX91" s="36"/>
      <c r="IY91" s="36"/>
      <c r="IZ91" s="36"/>
      <c r="JA91" s="36"/>
      <c r="JB91" s="36"/>
      <c r="JC91" s="36"/>
      <c r="JD91" s="36"/>
      <c r="JE91" s="36"/>
      <c r="JF91" s="36"/>
      <c r="JG91" s="36"/>
      <c r="JH91" s="36"/>
      <c r="JI91" s="36"/>
      <c r="JJ91" s="36">
        <f>JJ90+1</f>
        <v>4</v>
      </c>
      <c r="JK91" s="36">
        <f>'Tabulka kvalifikace'!EU37</f>
        <v>0</v>
      </c>
      <c r="JN91" s="36"/>
      <c r="JR91" s="36"/>
      <c r="JS91" s="36"/>
      <c r="JU91" s="135"/>
      <c r="JX91" s="36"/>
      <c r="JY91" s="36"/>
      <c r="JZ91" s="36"/>
      <c r="KA91" s="36">
        <f>'Tabulka kvalifikace'!FU37</f>
        <v>0</v>
      </c>
      <c r="KC91" s="36">
        <f>IF(JK91="",$EF$52,(IF(JK91=0,$EF$52,JJ91)))</f>
        <v>99</v>
      </c>
      <c r="KE91" s="36">
        <f>SMALL($EF$55:$EF$124,JJ91)</f>
        <v>33</v>
      </c>
      <c r="KG91" s="36">
        <f>IF(KE91=99,"",(INDEX($DN$55:$DN$124,KE91)))</f>
        <v>0</v>
      </c>
      <c r="KH91" s="36">
        <f>IF(KE91=99,"",(INDEX($ED$55:$ED$124,KE91)))</f>
        <v>0</v>
      </c>
      <c r="LX91" s="317"/>
      <c r="LY91" s="317"/>
      <c r="LZ91" s="317"/>
      <c r="MA91" s="317"/>
      <c r="MB91" s="317"/>
      <c r="MC91" s="317"/>
      <c r="MD91" s="317"/>
    </row>
    <row r="92" spans="4:342" hidden="1" x14ac:dyDescent="0.25">
      <c r="D92"/>
      <c r="R92"/>
      <c r="V92"/>
      <c r="W92"/>
      <c r="X92"/>
      <c r="AZ92" s="36">
        <f>'Tabulka kvalifikace'!BK2</f>
        <v>999</v>
      </c>
      <c r="BB92" s="36">
        <f t="shared" si="31"/>
        <v>17</v>
      </c>
      <c r="BC92" s="36" t="str">
        <f>'Tabulka kvalifikace'!D23</f>
        <v/>
      </c>
      <c r="BD92" s="36">
        <f>'Tabulka kvalifikace'!AD23</f>
        <v>0</v>
      </c>
      <c r="BF92" s="1">
        <f t="shared" si="26"/>
        <v>999</v>
      </c>
      <c r="BH92" s="1">
        <f t="shared" si="27"/>
        <v>999</v>
      </c>
      <c r="BK92" s="1" t="str">
        <f t="shared" si="28"/>
        <v/>
      </c>
      <c r="BL92" s="1" t="str">
        <f t="shared" si="29"/>
        <v/>
      </c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3"/>
      <c r="CO92" s="73"/>
      <c r="CP92" s="73"/>
      <c r="CQ92"/>
      <c r="CR92"/>
      <c r="CS92" s="135"/>
      <c r="CT92"/>
      <c r="CU92" s="135"/>
      <c r="CV92"/>
      <c r="DI92" s="36"/>
      <c r="DM92" s="36">
        <f t="shared" si="25"/>
        <v>32</v>
      </c>
      <c r="DN92" s="36">
        <f>'Tabulka kvalifikace'!D38</f>
        <v>0</v>
      </c>
      <c r="DV92" s="36"/>
      <c r="ED92" s="36">
        <f>'Tabulka kvalifikace'!AD38</f>
        <v>0</v>
      </c>
      <c r="EE92"/>
      <c r="EF92" s="36">
        <f t="shared" si="21"/>
        <v>99</v>
      </c>
      <c r="EG92"/>
      <c r="EH92" s="36">
        <f t="shared" si="22"/>
        <v>99</v>
      </c>
      <c r="EI92"/>
      <c r="EJ92" s="36" t="str">
        <f t="shared" si="23"/>
        <v/>
      </c>
      <c r="EK92" s="36" t="str">
        <f t="shared" si="24"/>
        <v/>
      </c>
      <c r="EL92"/>
      <c r="EM92"/>
      <c r="EO92"/>
      <c r="GA92" s="317"/>
      <c r="GB92" s="317"/>
      <c r="GC92" s="317"/>
      <c r="GD92" s="317"/>
      <c r="GE92" s="317"/>
      <c r="GF92" s="317"/>
      <c r="GG92" s="317"/>
      <c r="GH92" s="317"/>
      <c r="GI92" s="489"/>
      <c r="GJ92" s="491"/>
      <c r="GK92" s="490"/>
      <c r="GL92" s="317"/>
      <c r="GM92" s="317"/>
      <c r="GN92" s="317"/>
      <c r="GO92" s="317"/>
      <c r="GP92" s="489"/>
      <c r="GQ92" s="491"/>
      <c r="GR92" s="138"/>
      <c r="GS92" s="36">
        <f>AZ92</f>
        <v>999</v>
      </c>
      <c r="GT92" s="317"/>
      <c r="GU92" s="317"/>
      <c r="GV92" s="317"/>
      <c r="GW92" s="317"/>
      <c r="GX92" s="317"/>
      <c r="GY92" s="317"/>
      <c r="GZ92" s="317"/>
      <c r="HA92" s="295" t="s">
        <v>6</v>
      </c>
      <c r="HB92" s="295"/>
      <c r="HC92" s="1"/>
      <c r="HD92" s="1"/>
      <c r="HE92" s="1" t="s">
        <v>25</v>
      </c>
      <c r="HF92" s="1"/>
      <c r="HG92" s="1"/>
      <c r="HH92" s="36" t="s">
        <v>0</v>
      </c>
      <c r="HI92" s="36" t="s">
        <v>60</v>
      </c>
      <c r="HJ92" s="36"/>
      <c r="HK92" s="36"/>
      <c r="HL92" s="36"/>
      <c r="HM92" s="36" t="s">
        <v>6</v>
      </c>
      <c r="HN92" s="36" t="s">
        <v>4</v>
      </c>
      <c r="HO92" s="36" t="s">
        <v>5</v>
      </c>
      <c r="HP92" s="36" t="s">
        <v>0</v>
      </c>
      <c r="HQ92" s="36" t="s">
        <v>60</v>
      </c>
      <c r="HR92" s="36"/>
      <c r="HS92" s="36"/>
      <c r="HU92" s="36" t="s">
        <v>16</v>
      </c>
      <c r="IK92" s="73"/>
      <c r="IL92" s="73"/>
      <c r="IM92" s="73"/>
      <c r="IX92" s="36"/>
      <c r="IY92" s="36"/>
      <c r="IZ92" s="36"/>
      <c r="JA92" s="36"/>
      <c r="JB92" s="36"/>
      <c r="JC92" s="36"/>
      <c r="JD92" s="36"/>
      <c r="JE92" s="36"/>
      <c r="JF92" s="36"/>
      <c r="JG92" s="36"/>
      <c r="JH92" s="36"/>
      <c r="JI92" s="36"/>
      <c r="JJ92" s="36">
        <f>JJ91+1</f>
        <v>5</v>
      </c>
      <c r="JK92" s="36">
        <f>'Tabulka kvalifikace'!EU38</f>
        <v>0</v>
      </c>
      <c r="JN92" s="36"/>
      <c r="JR92" s="36"/>
      <c r="JS92" s="36"/>
      <c r="JU92" s="135"/>
      <c r="JX92" s="36"/>
      <c r="JY92" s="36"/>
      <c r="JZ92" s="36"/>
      <c r="KA92" s="36">
        <f>'Tabulka kvalifikace'!FU38</f>
        <v>0</v>
      </c>
      <c r="KC92" s="36">
        <f>IF(JK92="",$EF$52,(IF(JK92=0,$EF$52,JJ92)))</f>
        <v>99</v>
      </c>
      <c r="KE92" s="36">
        <f>SMALL($EF$55:$EF$124,JJ92)</f>
        <v>35</v>
      </c>
      <c r="KG92" s="36" t="str">
        <f>IF(KE92=99,"",(INDEX($DN$55:$DN$124,KE92)))</f>
        <v/>
      </c>
      <c r="KH92" s="36">
        <f>IF(KE92=99,"",(INDEX($ED$55:$ED$124,KE92)))</f>
        <v>0</v>
      </c>
      <c r="LX92" s="317"/>
      <c r="LY92" s="317"/>
      <c r="LZ92" s="317"/>
      <c r="MA92" s="317"/>
      <c r="MB92" s="317"/>
      <c r="MC92" s="317"/>
      <c r="MD92" s="317"/>
    </row>
    <row r="93" spans="4:342" hidden="1" x14ac:dyDescent="0.25">
      <c r="AY93" s="36">
        <v>1</v>
      </c>
      <c r="AZ93" s="36">
        <f>IF(GA93="",$AZ$92,GA93)</f>
        <v>1</v>
      </c>
      <c r="BB93" s="36">
        <f t="shared" si="31"/>
        <v>18</v>
      </c>
      <c r="BC93" s="36">
        <f>'Tabulka kvalifikace'!D24</f>
        <v>0</v>
      </c>
      <c r="BD93" s="36">
        <f>'Tabulka kvalifikace'!AD24</f>
        <v>0</v>
      </c>
      <c r="BF93" s="1">
        <f t="shared" si="26"/>
        <v>999</v>
      </c>
      <c r="BH93" s="1">
        <f t="shared" si="27"/>
        <v>999</v>
      </c>
      <c r="BK93" s="1" t="str">
        <f t="shared" si="28"/>
        <v/>
      </c>
      <c r="BL93" s="1" t="str">
        <f t="shared" si="29"/>
        <v/>
      </c>
      <c r="DM93" s="36">
        <f t="shared" ref="DM93:DM124" si="42">DM92+1</f>
        <v>33</v>
      </c>
      <c r="DN93" s="36">
        <f>'Tabulka kvalifikace'!D40</f>
        <v>4</v>
      </c>
      <c r="DV93" s="36"/>
      <c r="ED93" s="36">
        <f>'Tabulka kvalifikace'!AD40</f>
        <v>0</v>
      </c>
      <c r="EF93" s="36">
        <f t="shared" si="21"/>
        <v>33</v>
      </c>
      <c r="EH93" s="36">
        <f t="shared" si="22"/>
        <v>99</v>
      </c>
      <c r="EJ93" s="36" t="str">
        <f t="shared" si="23"/>
        <v/>
      </c>
      <c r="EK93" s="36" t="str">
        <f t="shared" si="24"/>
        <v/>
      </c>
      <c r="GA93" s="36">
        <f>'Tabulka kvalifikace'!DJ81</f>
        <v>1</v>
      </c>
      <c r="GB93" s="36">
        <f>'Tabulka kvalifikace'!DL81</f>
        <v>5</v>
      </c>
      <c r="GC93" s="36">
        <f>'Tabulka kvalifikace'!DM81</f>
        <v>2</v>
      </c>
      <c r="GD93" s="36">
        <f>'Tabulka kvalifikace'!DS81</f>
        <v>1</v>
      </c>
      <c r="GE93" s="36">
        <f>'Tabulka kvalifikace'!DT81</f>
        <v>0</v>
      </c>
      <c r="GF93" s="36">
        <f>'Tabulka kvalifikace'!DU81</f>
        <v>0</v>
      </c>
      <c r="GG93" s="36">
        <f>IF(GA93="",0,('Tabulka kvalifikace'!DV81))</f>
        <v>6</v>
      </c>
      <c r="GH93" s="36">
        <f>'Tabulka kvalifikace'!DW81</f>
        <v>0</v>
      </c>
      <c r="GI93" s="149" t="str">
        <f>'Tabulka kvalifikace'!DR81</f>
        <v>F</v>
      </c>
      <c r="GJ93" s="136">
        <f>IF(GI93="",0,($HA$88))</f>
        <v>10000000000</v>
      </c>
      <c r="GK93" s="138">
        <f>IF($GA93=$GA$80,$GB$80,IF($GA93=$GA$81,$GB$81,IF($GA93=$GA$82,$GB$82,IF($GA93=$GA$83,$GB$83,IF($GA93=$GA$84,$GB$84,IF($GA93=$GA$85,$GB$85,0))))))</f>
        <v>0</v>
      </c>
      <c r="GL93" s="36">
        <f>IF($GA93=$GA$80,$GC$80,IF($GA93=$GA$81,$GC$81,IF($GA93=$GA$82,$GC$82,IF($GA93=$GA$83,$GC$83,IF($GA93=$GA$84,$GC$84,IF($GA93=$GA$85,$GC$85,0))))))</f>
        <v>0</v>
      </c>
      <c r="GM93" s="36">
        <f>IF($GA93=$GA$80,$GD$80,IF($GA93=$GA$81,$GD$81,IF($GA93=$GA$82,$GD$82,IF($GA93=$GA$83,$GD$83,IF($GA93=$GA$84,$GD$84,IF($GA93=$GA$85,$GD$85,0))))))</f>
        <v>0</v>
      </c>
      <c r="GN93" s="36">
        <f>IF($GA93=$GA$80,$GE$80,IF($GA93=$GA$81,$GE$81,IF($GA93=$GA$82,$GE$82,IF($GA93=$GA$83,$GE$83,IF($GA93=$GA$84,$GE$84,IF($GA93=$GA$85,$GE$85,0))))))</f>
        <v>0</v>
      </c>
      <c r="GO93" s="36">
        <f>IF($GA93=$GA$80,$GF$80,IF($GA93=$GA$81,$GF$81,IF($GA93=$GA$82,$GF$82,IF($GA93=$GA$83,$GF$83,IF($GA93=$GA$84,$GF$84,IF($GA93=$GA$85,$GF$85,0))))))</f>
        <v>0</v>
      </c>
      <c r="GP93" s="149">
        <f>IF($GA93=$GA$80,$GG$80,IF($GA93=$GA$81,$GG$81,IF($GA93=$GA$82,$GG$82,IF($GA93=$GA$83,$GG$83,IF($GA93=$GA$84,$GG$84,IF($GA93=$GA$85,$GG$85,0))))))</f>
        <v>0</v>
      </c>
      <c r="GQ93" s="36">
        <f>IF(GA93=$GN$74,$GO$74,IF(GA93=$GN$75,$GO$75,IF(GA93=$GN$76,$GO$76,IF(GA93=$GN$77,$GO$77,IF(GA93=$GN$78,$GO$78,IF(GA93=$GN$79,$GO$79,0))))))*$HA$88</f>
        <v>20000000000</v>
      </c>
      <c r="GR93" s="138">
        <f>AY93</f>
        <v>1</v>
      </c>
      <c r="GS93" s="36">
        <f>AZ93</f>
        <v>1</v>
      </c>
      <c r="GT93" s="36">
        <f>GA93</f>
        <v>1</v>
      </c>
      <c r="GU93" s="36">
        <f>GB93+GK93</f>
        <v>5</v>
      </c>
      <c r="GV93" s="36">
        <f>GC93+GL93</f>
        <v>2</v>
      </c>
      <c r="GW93" s="36">
        <f>GD93+GM93</f>
        <v>1</v>
      </c>
      <c r="GX93" s="36">
        <f>GE93+GN93</f>
        <v>0</v>
      </c>
      <c r="GY93" s="36">
        <f>GF93+GO93</f>
        <v>0</v>
      </c>
      <c r="GZ93" s="36">
        <f>GH93+GP93</f>
        <v>0</v>
      </c>
      <c r="HA93" s="488">
        <f>(IF(GS93=$AZ$92,$HA$88,(((((((((400)+GU93)*10+GG93)*100+GV93)*10+GW93)*10+GX93)*10)+GY93)*100+GT93)))+GQ93</f>
        <v>60560210001</v>
      </c>
      <c r="HB93" s="288"/>
      <c r="HC93" s="36">
        <f>LEN(HE93)</f>
        <v>11</v>
      </c>
      <c r="HE93">
        <f>LARGE($HA$93:$HB$124,GR93)</f>
        <v>81070810003</v>
      </c>
      <c r="HF93" s="36">
        <f>LEN(HE93)</f>
        <v>11</v>
      </c>
      <c r="HG93" s="36">
        <f>VALUE(MID(HE93,1,1))</f>
        <v>8</v>
      </c>
      <c r="HH93" s="36">
        <f>IF(HG93=1,"",(VALUE(MID(HE93,HF93-1,2))))</f>
        <v>3</v>
      </c>
      <c r="HI93" s="36">
        <v>1</v>
      </c>
      <c r="HJ93" s="36"/>
      <c r="HK93" s="36"/>
      <c r="HL93" s="36"/>
      <c r="HM93">
        <f>IF(HH93="",$HM$90*2,($HM$90+HH93*100+HI93))</f>
        <v>10301</v>
      </c>
      <c r="HN93">
        <f>SMALL($HM$93:$HM$124,HI93)</f>
        <v>10104</v>
      </c>
      <c r="HO93" s="36">
        <f>LEN(HN93)</f>
        <v>5</v>
      </c>
      <c r="HP93" s="36">
        <f>IF((HN93=($HM$90*2)),"",(VALUE(MID(HN93,2,2))))</f>
        <v>1</v>
      </c>
      <c r="HQ93" s="36">
        <f>IF(HN93=($HM$90*2),"",(VALUE(MID(HN93,HO93-1,2))))</f>
        <v>4</v>
      </c>
      <c r="HS93" s="36" t="s">
        <v>61</v>
      </c>
      <c r="HT93" s="36">
        <f>D56</f>
        <v>3</v>
      </c>
      <c r="HU93" s="36">
        <f t="shared" ref="HU93:HU96" si="43">IF(HQ93="","",(INDEX($HQ$93:$HQ$124,HT93)))</f>
        <v>1</v>
      </c>
      <c r="IA93" s="36">
        <f>HU93</f>
        <v>1</v>
      </c>
    </row>
    <row r="94" spans="4:342" hidden="1" x14ac:dyDescent="0.25">
      <c r="AY94" s="36">
        <f>AY93+1</f>
        <v>2</v>
      </c>
      <c r="AZ94" s="36">
        <f t="shared" ref="AZ94:AZ124" si="44">IF(GA94="",$AZ$92,GA94)</f>
        <v>2</v>
      </c>
      <c r="BB94" s="36">
        <f t="shared" si="31"/>
        <v>19</v>
      </c>
      <c r="BC94" s="36" t="str">
        <f>'Tabulka kvalifikace'!D25</f>
        <v/>
      </c>
      <c r="BD94" s="36">
        <f>'Tabulka kvalifikace'!AD25</f>
        <v>0</v>
      </c>
      <c r="BF94" s="1">
        <f t="shared" si="26"/>
        <v>999</v>
      </c>
      <c r="BH94" s="1">
        <f t="shared" si="27"/>
        <v>999</v>
      </c>
      <c r="BK94" s="1" t="str">
        <f t="shared" si="28"/>
        <v/>
      </c>
      <c r="BL94" s="1" t="str">
        <f t="shared" si="29"/>
        <v/>
      </c>
      <c r="DM94" s="36">
        <f t="shared" si="42"/>
        <v>34</v>
      </c>
      <c r="DN94" s="36">
        <f>'Tabulka kvalifikace'!D41</f>
        <v>0</v>
      </c>
      <c r="DV94" s="36"/>
      <c r="ED94" s="36">
        <f>'Tabulka kvalifikace'!AD41</f>
        <v>0</v>
      </c>
      <c r="EF94" s="36">
        <f t="shared" si="21"/>
        <v>99</v>
      </c>
      <c r="EH94" s="36">
        <f t="shared" si="22"/>
        <v>99</v>
      </c>
      <c r="EJ94" s="36" t="str">
        <f t="shared" si="23"/>
        <v/>
      </c>
      <c r="EK94" s="36" t="str">
        <f t="shared" si="24"/>
        <v/>
      </c>
      <c r="GA94" s="36">
        <f>'Tabulka kvalifikace'!DJ82</f>
        <v>2</v>
      </c>
      <c r="GB94" s="36">
        <f>'Tabulka kvalifikace'!DL82</f>
        <v>0</v>
      </c>
      <c r="GC94" s="36">
        <f>'Tabulka kvalifikace'!DM82</f>
        <v>0</v>
      </c>
      <c r="GD94" s="36">
        <f>'Tabulka kvalifikace'!DS82</f>
        <v>0</v>
      </c>
      <c r="GE94" s="36">
        <f>'Tabulka kvalifikace'!DT82</f>
        <v>0</v>
      </c>
      <c r="GF94" s="36">
        <f>'Tabulka kvalifikace'!DU82</f>
        <v>0</v>
      </c>
      <c r="GG94" s="36">
        <f>IF(GA94="",0,('Tabulka kvalifikace'!DV82))</f>
        <v>5</v>
      </c>
      <c r="GH94" s="36">
        <f>'Tabulka kvalifikace'!DW82</f>
        <v>1</v>
      </c>
      <c r="GI94" s="149" t="str">
        <f>'Tabulka kvalifikace'!DR82</f>
        <v>F</v>
      </c>
      <c r="GJ94" s="136">
        <f t="shared" ref="GJ94:GJ124" si="45">IF(GI94="",0,($HA$88))</f>
        <v>10000000000</v>
      </c>
      <c r="GK94" s="138">
        <f t="shared" ref="GK94:GK124" si="46">IF($GA94=$GA$80,$GB$80,IF($GA94=$GA$81,$GB$81,IF($GA94=$GA$82,$GB$82,IF($GA94=$GA$83,$GB$83,IF($GA94=$GA$84,$GB$84,IF($GA94=$GA$85,$GB$85,0))))))</f>
        <v>0</v>
      </c>
      <c r="GL94" s="36">
        <f t="shared" ref="GL94:GL124" si="47">IF($GA94=$GA$80,$GC$80,IF($GA94=$GA$81,$GC$81,IF($GA94=$GA$82,$GC$82,IF($GA94=$GA$83,$GC$83,IF($GA94=$GA$84,$GC$84,IF($GA94=$GA$85,$GC$85,0))))))</f>
        <v>0</v>
      </c>
      <c r="GM94" s="36">
        <f t="shared" ref="GM94:GM124" si="48">IF($GA94=$GA$80,$GD$80,IF($GA94=$GA$81,$GD$81,IF($GA94=$GA$82,$GD$82,IF($GA94=$GA$83,$GD$83,IF($GA94=$GA$84,$GD$84,IF($GA94=$GA$85,$GD$85,0))))))</f>
        <v>0</v>
      </c>
      <c r="GN94" s="36">
        <f t="shared" ref="GN94:GN124" si="49">IF($GA94=$GA$80,$GE$80,IF($GA94=$GA$81,$GE$81,IF($GA94=$GA$82,$GE$82,IF($GA94=$GA$83,$GE$83,IF($GA94=$GA$84,$GE$84,IF($GA94=$GA$85,$GE$85,0))))))</f>
        <v>0</v>
      </c>
      <c r="GO94" s="36">
        <f t="shared" ref="GO94:GO124" si="50">IF($GA94=$GA$80,$GF$80,IF($GA94=$GA$81,$GF$81,IF($GA94=$GA$82,$GF$82,IF($GA94=$GA$83,$GF$83,IF($GA94=$GA$84,$GF$84,IF($GA94=$GA$85,$GF$85,0))))))</f>
        <v>0</v>
      </c>
      <c r="GP94" s="149">
        <f t="shared" ref="GP94:GP124" si="51">IF($GA94=$GA$80,$GG$80,IF($GA94=$GA$81,$GG$81,IF($GA94=$GA$82,$GG$82,IF($GA94=$GA$83,$GG$83,IF($GA94=$GA$84,$GG$84,IF($GA94=$GA$85,$GG$85,0))))))</f>
        <v>0</v>
      </c>
      <c r="GQ94" s="36">
        <f t="shared" ref="GQ94:GQ124" si="52">IF(GA94=$GN$74,$GO$74,IF(GA94=$GN$75,$GO$75,IF(GA94=$GN$76,$GO$76,IF(GA94=$GN$77,$GO$77,IF(GA94=$GN$78,$GO$78,IF(GA94=$GN$79,$GO$79,0))))))*$HA$88</f>
        <v>10000000000</v>
      </c>
      <c r="GR94" s="138">
        <f t="shared" ref="GR94:GR124" si="53">AY94</f>
        <v>2</v>
      </c>
      <c r="GS94" s="36">
        <f t="shared" ref="GS94:GS124" si="54">AZ94</f>
        <v>2</v>
      </c>
      <c r="GT94" s="36">
        <f t="shared" ref="GT94:GT124" si="55">GA94</f>
        <v>2</v>
      </c>
      <c r="GU94" s="36">
        <f t="shared" ref="GU94:GU124" si="56">GB94+GK94</f>
        <v>0</v>
      </c>
      <c r="GV94" s="36">
        <f t="shared" ref="GV94:GV124" si="57">GC94+GL94</f>
        <v>0</v>
      </c>
      <c r="GW94" s="36">
        <f t="shared" ref="GW94:GW124" si="58">GD94+GM94</f>
        <v>0</v>
      </c>
      <c r="GX94" s="36">
        <f t="shared" ref="GX94:GX124" si="59">GE94+GN94</f>
        <v>0</v>
      </c>
      <c r="GY94" s="36">
        <f t="shared" ref="GY94:GY124" si="60">GF94+GO94</f>
        <v>0</v>
      </c>
      <c r="GZ94" s="36">
        <f t="shared" ref="GZ94:GZ124" si="61">GH94+GP94</f>
        <v>1</v>
      </c>
      <c r="HA94" s="488">
        <f t="shared" ref="HA94:HA124" si="62">(IF(GS94=$AZ$92,$HA$88,(((((((((400)+GU94)*10+GG94)*100+GV94)*10+GW94)*10+GX94)*10)+GY94)*100+GT94)))+GQ94</f>
        <v>50050000002</v>
      </c>
      <c r="HB94" s="288"/>
      <c r="HC94" s="36">
        <f t="shared" ref="HC94:HC124" si="63">LEN(HA94)</f>
        <v>11</v>
      </c>
      <c r="HE94">
        <f t="shared" ref="HE94:HE124" si="64">LARGE($HA$93:$HB$124,GR94)</f>
        <v>80972410006</v>
      </c>
      <c r="HF94" s="36">
        <f t="shared" ref="HF94:HF124" si="65">LEN(HE94)</f>
        <v>11</v>
      </c>
      <c r="HG94" s="36">
        <f t="shared" ref="HG94:HG124" si="66">VALUE(MID(HE94,1,1))</f>
        <v>8</v>
      </c>
      <c r="HH94" s="36">
        <f t="shared" ref="HH94:HH124" si="67">IF(HG94=1,"",(VALUE(MID(HE94,HF94-1,2))))</f>
        <v>6</v>
      </c>
      <c r="HI94" s="36">
        <f>HI93+1</f>
        <v>2</v>
      </c>
      <c r="HJ94" s="36"/>
      <c r="HK94" s="36"/>
      <c r="HL94" s="36"/>
      <c r="HM94">
        <f>IF(HH94="",$HM$90*2,($HM$90+HH94*100+HI94))</f>
        <v>10602</v>
      </c>
      <c r="HN94">
        <f t="shared" ref="HN94:HN124" si="68">SMALL($HM$93:$HM$124,HI94)</f>
        <v>10206</v>
      </c>
      <c r="HO94" s="36">
        <f t="shared" ref="HO94:HO124" si="69">LEN(HN94)</f>
        <v>5</v>
      </c>
      <c r="HP94" s="36">
        <f t="shared" ref="HP94:HP102" si="70">IF((HN94=($HM$90*2)),"",(VALUE(MID(HN94,2,2))))</f>
        <v>2</v>
      </c>
      <c r="HQ94" s="36">
        <f t="shared" ref="HQ94:HQ102" si="71">IF(HN94=($HM$90*2),"",(VALUE(MID(HN94,HO94-1,2))))</f>
        <v>6</v>
      </c>
      <c r="HS94" s="36" t="s">
        <v>61</v>
      </c>
      <c r="HT94" s="36">
        <f>D58</f>
        <v>6</v>
      </c>
      <c r="HU94" s="36">
        <f t="shared" si="43"/>
        <v>2</v>
      </c>
      <c r="IA94" s="36">
        <f>HU94</f>
        <v>2</v>
      </c>
    </row>
    <row r="95" spans="4:342" hidden="1" x14ac:dyDescent="0.25">
      <c r="AY95" s="36">
        <f t="shared" ref="AY95:AY124" si="72">AY94+1</f>
        <v>3</v>
      </c>
      <c r="AZ95" s="36">
        <f t="shared" si="44"/>
        <v>3</v>
      </c>
      <c r="BB95" s="36">
        <f t="shared" si="31"/>
        <v>20</v>
      </c>
      <c r="BC95" s="36">
        <f>'Tabulka kvalifikace'!D26</f>
        <v>0</v>
      </c>
      <c r="BD95" s="36">
        <f>'Tabulka kvalifikace'!AD26</f>
        <v>0</v>
      </c>
      <c r="BF95" s="1">
        <f t="shared" si="26"/>
        <v>999</v>
      </c>
      <c r="BH95" s="1">
        <f t="shared" si="27"/>
        <v>999</v>
      </c>
      <c r="BK95" s="1" t="str">
        <f t="shared" si="28"/>
        <v/>
      </c>
      <c r="BL95" s="1" t="str">
        <f t="shared" si="29"/>
        <v/>
      </c>
      <c r="DM95" s="36">
        <f t="shared" si="42"/>
        <v>35</v>
      </c>
      <c r="DN95" s="36">
        <f>'Tabulka kvalifikace'!D42</f>
        <v>5</v>
      </c>
      <c r="DV95" s="36"/>
      <c r="ED95" s="36">
        <f>'Tabulka kvalifikace'!AD42</f>
        <v>0</v>
      </c>
      <c r="EF95" s="36">
        <f t="shared" si="21"/>
        <v>35</v>
      </c>
      <c r="EH95" s="36">
        <f t="shared" si="22"/>
        <v>99</v>
      </c>
      <c r="EJ95" s="36" t="str">
        <f t="shared" si="23"/>
        <v/>
      </c>
      <c r="EK95" s="36" t="str">
        <f t="shared" si="24"/>
        <v/>
      </c>
      <c r="GA95" s="36">
        <f>'Tabulka kvalifikace'!DJ83</f>
        <v>3</v>
      </c>
      <c r="GB95" s="36">
        <f>'Tabulka kvalifikace'!DL83</f>
        <v>10</v>
      </c>
      <c r="GC95" s="36">
        <f>'Tabulka kvalifikace'!DM83</f>
        <v>8</v>
      </c>
      <c r="GD95" s="36">
        <f>'Tabulka kvalifikace'!DS83</f>
        <v>1</v>
      </c>
      <c r="GE95" s="36">
        <f>'Tabulka kvalifikace'!DT83</f>
        <v>0</v>
      </c>
      <c r="GF95" s="36">
        <f>'Tabulka kvalifikace'!DU83</f>
        <v>0</v>
      </c>
      <c r="GG95" s="36">
        <f>IF(GA95="",0,('Tabulka kvalifikace'!DV83))</f>
        <v>7</v>
      </c>
      <c r="GH95" s="36">
        <f>'Tabulka kvalifikace'!DW83</f>
        <v>0</v>
      </c>
      <c r="GI95" s="149" t="str">
        <f>'Tabulka kvalifikace'!DR83</f>
        <v>F</v>
      </c>
      <c r="GJ95" s="136">
        <f t="shared" si="45"/>
        <v>10000000000</v>
      </c>
      <c r="GK95" s="138">
        <f t="shared" si="46"/>
        <v>0</v>
      </c>
      <c r="GL95" s="36">
        <f t="shared" si="47"/>
        <v>0</v>
      </c>
      <c r="GM95" s="36">
        <f t="shared" si="48"/>
        <v>0</v>
      </c>
      <c r="GN95" s="36">
        <f t="shared" si="49"/>
        <v>0</v>
      </c>
      <c r="GO95" s="36">
        <f t="shared" si="50"/>
        <v>0</v>
      </c>
      <c r="GP95" s="149">
        <f t="shared" si="51"/>
        <v>0</v>
      </c>
      <c r="GQ95" s="36">
        <f t="shared" si="52"/>
        <v>40000000000</v>
      </c>
      <c r="GR95" s="138">
        <f t="shared" si="53"/>
        <v>3</v>
      </c>
      <c r="GS95" s="36">
        <f t="shared" si="54"/>
        <v>3</v>
      </c>
      <c r="GT95" s="36">
        <f t="shared" si="55"/>
        <v>3</v>
      </c>
      <c r="GU95" s="36">
        <f t="shared" si="56"/>
        <v>10</v>
      </c>
      <c r="GV95" s="36">
        <f t="shared" si="57"/>
        <v>8</v>
      </c>
      <c r="GW95" s="36">
        <f t="shared" si="58"/>
        <v>1</v>
      </c>
      <c r="GX95" s="36">
        <f t="shared" si="59"/>
        <v>0</v>
      </c>
      <c r="GY95" s="36">
        <f t="shared" si="60"/>
        <v>0</v>
      </c>
      <c r="GZ95" s="36">
        <f t="shared" si="61"/>
        <v>0</v>
      </c>
      <c r="HA95" s="488">
        <f t="shared" si="62"/>
        <v>81070810003</v>
      </c>
      <c r="HB95" s="288"/>
      <c r="HC95" s="36">
        <f t="shared" si="63"/>
        <v>11</v>
      </c>
      <c r="HE95">
        <f t="shared" si="64"/>
        <v>60560810005</v>
      </c>
      <c r="HF95" s="36">
        <f t="shared" si="65"/>
        <v>11</v>
      </c>
      <c r="HG95" s="36">
        <f t="shared" si="66"/>
        <v>6</v>
      </c>
      <c r="HH95" s="36">
        <f t="shared" si="67"/>
        <v>5</v>
      </c>
      <c r="HI95" s="36">
        <f t="shared" ref="HI95:HI124" si="73">HI94+1</f>
        <v>3</v>
      </c>
      <c r="HJ95" s="36">
        <f>VALUE(MID(HE95,1,HF95-2))</f>
        <v>605608100</v>
      </c>
      <c r="HK95" s="36">
        <v>3</v>
      </c>
      <c r="HL95" s="36"/>
      <c r="HM95">
        <f>IF(HH95="",$HM$90*2,($HM$90+HH95*100+HK95))</f>
        <v>10503</v>
      </c>
      <c r="HN95">
        <f t="shared" si="68"/>
        <v>10301</v>
      </c>
      <c r="HO95" s="36">
        <f t="shared" si="69"/>
        <v>5</v>
      </c>
      <c r="HP95" s="36">
        <f t="shared" si="70"/>
        <v>3</v>
      </c>
      <c r="HQ95" s="36">
        <f t="shared" si="71"/>
        <v>1</v>
      </c>
      <c r="HS95" s="36" t="s">
        <v>62</v>
      </c>
      <c r="HT95" s="36">
        <f>D46</f>
        <v>1</v>
      </c>
      <c r="HU95" s="36">
        <f t="shared" si="43"/>
        <v>4</v>
      </c>
      <c r="HW95" s="36">
        <f>HU95</f>
        <v>4</v>
      </c>
      <c r="IA95" s="36"/>
    </row>
    <row r="96" spans="4:342" hidden="1" x14ac:dyDescent="0.25">
      <c r="AY96" s="36">
        <f t="shared" si="72"/>
        <v>4</v>
      </c>
      <c r="AZ96" s="36">
        <f t="shared" si="44"/>
        <v>999</v>
      </c>
      <c r="BB96" s="36">
        <f t="shared" si="31"/>
        <v>21</v>
      </c>
      <c r="BC96" s="36" t="str">
        <f>'Tabulka kvalifikace'!D27</f>
        <v/>
      </c>
      <c r="BD96" s="36">
        <f>'Tabulka kvalifikace'!AD27</f>
        <v>0</v>
      </c>
      <c r="BF96" s="1">
        <f t="shared" si="26"/>
        <v>999</v>
      </c>
      <c r="BH96" s="1">
        <f t="shared" si="27"/>
        <v>999</v>
      </c>
      <c r="BK96" s="1" t="str">
        <f t="shared" si="28"/>
        <v/>
      </c>
      <c r="BL96" s="1" t="str">
        <f t="shared" si="29"/>
        <v/>
      </c>
      <c r="DM96" s="36">
        <f t="shared" si="42"/>
        <v>36</v>
      </c>
      <c r="DN96" s="36">
        <f>'Tabulka kvalifikace'!D43</f>
        <v>0</v>
      </c>
      <c r="DV96" s="36"/>
      <c r="ED96" s="36">
        <f>'Tabulka kvalifikace'!AD43</f>
        <v>0</v>
      </c>
      <c r="EF96" s="36">
        <f t="shared" si="21"/>
        <v>99</v>
      </c>
      <c r="EH96" s="36">
        <f t="shared" si="22"/>
        <v>99</v>
      </c>
      <c r="EJ96" s="36" t="str">
        <f t="shared" si="23"/>
        <v/>
      </c>
      <c r="EK96" s="36" t="str">
        <f t="shared" si="24"/>
        <v/>
      </c>
      <c r="GA96" s="36" t="str">
        <f>'Tabulka kvalifikace'!DJ84</f>
        <v/>
      </c>
      <c r="GB96" s="36">
        <f>'Tabulka kvalifikace'!DL84</f>
        <v>0</v>
      </c>
      <c r="GC96" s="36">
        <f>'Tabulka kvalifikace'!DM84</f>
        <v>0</v>
      </c>
      <c r="GD96" s="36">
        <f>'Tabulka kvalifikace'!DS84</f>
        <v>0</v>
      </c>
      <c r="GE96" s="36">
        <f>'Tabulka kvalifikace'!DT84</f>
        <v>0</v>
      </c>
      <c r="GF96" s="36">
        <f>'Tabulka kvalifikace'!DU84</f>
        <v>0</v>
      </c>
      <c r="GG96" s="36">
        <f>IF(GA96="",0,('Tabulka kvalifikace'!DV84))</f>
        <v>0</v>
      </c>
      <c r="GH96" s="36">
        <f>'Tabulka kvalifikace'!DW84</f>
        <v>0</v>
      </c>
      <c r="GI96" s="149" t="str">
        <f>'Tabulka kvalifikace'!DR84</f>
        <v/>
      </c>
      <c r="GJ96" s="136">
        <f t="shared" si="45"/>
        <v>0</v>
      </c>
      <c r="GK96" s="138">
        <f t="shared" si="46"/>
        <v>0</v>
      </c>
      <c r="GL96" s="36">
        <f t="shared" si="47"/>
        <v>0</v>
      </c>
      <c r="GM96" s="36">
        <f t="shared" si="48"/>
        <v>0</v>
      </c>
      <c r="GN96" s="36">
        <f t="shared" si="49"/>
        <v>0</v>
      </c>
      <c r="GO96" s="36">
        <f t="shared" si="50"/>
        <v>0</v>
      </c>
      <c r="GP96" s="149">
        <f t="shared" si="51"/>
        <v>0</v>
      </c>
      <c r="GQ96" s="36">
        <f t="shared" si="52"/>
        <v>0</v>
      </c>
      <c r="GR96" s="138">
        <f t="shared" si="53"/>
        <v>4</v>
      </c>
      <c r="GS96" s="36">
        <f t="shared" si="54"/>
        <v>999</v>
      </c>
      <c r="GT96" s="36" t="str">
        <f t="shared" si="55"/>
        <v/>
      </c>
      <c r="GU96" s="36">
        <f t="shared" si="56"/>
        <v>0</v>
      </c>
      <c r="GV96" s="36">
        <f t="shared" si="57"/>
        <v>0</v>
      </c>
      <c r="GW96" s="36">
        <f t="shared" si="58"/>
        <v>0</v>
      </c>
      <c r="GX96" s="36">
        <f t="shared" si="59"/>
        <v>0</v>
      </c>
      <c r="GY96" s="36">
        <f t="shared" si="60"/>
        <v>0</v>
      </c>
      <c r="GZ96" s="36">
        <f t="shared" si="61"/>
        <v>0</v>
      </c>
      <c r="HA96" s="488">
        <f t="shared" si="62"/>
        <v>10000000000</v>
      </c>
      <c r="HB96" s="288"/>
      <c r="HC96" s="36">
        <f t="shared" si="63"/>
        <v>11</v>
      </c>
      <c r="HE96">
        <f t="shared" si="64"/>
        <v>60560210001</v>
      </c>
      <c r="HF96" s="36">
        <f t="shared" si="65"/>
        <v>11</v>
      </c>
      <c r="HG96" s="36">
        <f t="shared" si="66"/>
        <v>6</v>
      </c>
      <c r="HH96" s="36">
        <f t="shared" si="67"/>
        <v>1</v>
      </c>
      <c r="HI96" s="36">
        <f t="shared" si="73"/>
        <v>4</v>
      </c>
      <c r="HJ96" s="36">
        <f>VALUE(MID(HE96,1,HF96-2))</f>
        <v>605602100</v>
      </c>
      <c r="HK96" s="36">
        <f>IF(HJ95=HJ96,HK95,HK95+1)</f>
        <v>4</v>
      </c>
      <c r="HL96" s="36"/>
      <c r="HM96">
        <f>IF(HH96="",$HM$90*2,($HM$90+HH96*100+HK96))</f>
        <v>10104</v>
      </c>
      <c r="HN96">
        <f t="shared" si="68"/>
        <v>10405</v>
      </c>
      <c r="HO96" s="36">
        <f t="shared" si="69"/>
        <v>5</v>
      </c>
      <c r="HP96" s="36">
        <f t="shared" si="70"/>
        <v>4</v>
      </c>
      <c r="HQ96" s="36">
        <f t="shared" si="71"/>
        <v>5</v>
      </c>
      <c r="HS96" s="36" t="s">
        <v>62</v>
      </c>
      <c r="HT96" s="36">
        <f>D48</f>
        <v>5</v>
      </c>
      <c r="HU96" s="36">
        <f t="shared" si="43"/>
        <v>3</v>
      </c>
      <c r="HW96" s="36">
        <f>HU96</f>
        <v>3</v>
      </c>
      <c r="IA96" s="36"/>
    </row>
    <row r="97" spans="51:235" hidden="1" x14ac:dyDescent="0.25">
      <c r="AY97" s="36">
        <f t="shared" si="72"/>
        <v>5</v>
      </c>
      <c r="AZ97" s="36">
        <f t="shared" si="44"/>
        <v>999</v>
      </c>
      <c r="BB97" s="36">
        <f t="shared" si="31"/>
        <v>22</v>
      </c>
      <c r="BC97" s="36">
        <f>'Tabulka kvalifikace'!D28</f>
        <v>0</v>
      </c>
      <c r="BD97" s="36">
        <f>'Tabulka kvalifikace'!AD28</f>
        <v>0</v>
      </c>
      <c r="BF97" s="1">
        <f t="shared" si="26"/>
        <v>999</v>
      </c>
      <c r="BH97" s="1">
        <f t="shared" si="27"/>
        <v>999</v>
      </c>
      <c r="BK97" s="1" t="str">
        <f t="shared" si="28"/>
        <v/>
      </c>
      <c r="BL97" s="1" t="str">
        <f t="shared" si="29"/>
        <v/>
      </c>
      <c r="DM97" s="36">
        <f t="shared" si="42"/>
        <v>37</v>
      </c>
      <c r="DN97" s="36">
        <f>'Tabulka kvalifikace'!D44</f>
        <v>6</v>
      </c>
      <c r="DV97" s="36"/>
      <c r="ED97" s="36">
        <f>'Tabulka kvalifikace'!AD44</f>
        <v>0</v>
      </c>
      <c r="EF97" s="36">
        <f t="shared" si="21"/>
        <v>37</v>
      </c>
      <c r="EH97" s="36">
        <f t="shared" si="22"/>
        <v>99</v>
      </c>
      <c r="EJ97" s="36" t="str">
        <f t="shared" si="23"/>
        <v/>
      </c>
      <c r="EK97" s="36" t="str">
        <f t="shared" si="24"/>
        <v/>
      </c>
      <c r="GA97" s="36" t="str">
        <f>'Tabulka kvalifikace'!DJ85</f>
        <v/>
      </c>
      <c r="GB97" s="36">
        <f>'Tabulka kvalifikace'!DL85</f>
        <v>0</v>
      </c>
      <c r="GC97" s="36">
        <f>'Tabulka kvalifikace'!DM85</f>
        <v>0</v>
      </c>
      <c r="GD97" s="36">
        <f>'Tabulka kvalifikace'!DS85</f>
        <v>0</v>
      </c>
      <c r="GE97" s="36">
        <f>'Tabulka kvalifikace'!DT85</f>
        <v>0</v>
      </c>
      <c r="GF97" s="36">
        <f>'Tabulka kvalifikace'!DU85</f>
        <v>0</v>
      </c>
      <c r="GG97" s="36">
        <f>IF(GA97="",0,('Tabulka kvalifikace'!DV85))</f>
        <v>0</v>
      </c>
      <c r="GH97" s="36">
        <f>'Tabulka kvalifikace'!DW85</f>
        <v>0</v>
      </c>
      <c r="GI97" s="149" t="str">
        <f>'Tabulka kvalifikace'!DR85</f>
        <v/>
      </c>
      <c r="GJ97" s="136">
        <f t="shared" si="45"/>
        <v>0</v>
      </c>
      <c r="GK97" s="138">
        <f t="shared" si="46"/>
        <v>0</v>
      </c>
      <c r="GL97" s="36">
        <f t="shared" si="47"/>
        <v>0</v>
      </c>
      <c r="GM97" s="36">
        <f t="shared" si="48"/>
        <v>0</v>
      </c>
      <c r="GN97" s="36">
        <f t="shared" si="49"/>
        <v>0</v>
      </c>
      <c r="GO97" s="36">
        <f t="shared" si="50"/>
        <v>0</v>
      </c>
      <c r="GP97" s="149">
        <f t="shared" si="51"/>
        <v>0</v>
      </c>
      <c r="GQ97" s="36">
        <f t="shared" si="52"/>
        <v>0</v>
      </c>
      <c r="GR97" s="138">
        <f t="shared" si="53"/>
        <v>5</v>
      </c>
      <c r="GS97" s="36">
        <f t="shared" si="54"/>
        <v>999</v>
      </c>
      <c r="GT97" s="36" t="str">
        <f t="shared" si="55"/>
        <v/>
      </c>
      <c r="GU97" s="36">
        <f t="shared" si="56"/>
        <v>0</v>
      </c>
      <c r="GV97" s="36">
        <f t="shared" si="57"/>
        <v>0</v>
      </c>
      <c r="GW97" s="36">
        <f t="shared" si="58"/>
        <v>0</v>
      </c>
      <c r="GX97" s="36">
        <f t="shared" si="59"/>
        <v>0</v>
      </c>
      <c r="GY97" s="36">
        <f t="shared" si="60"/>
        <v>0</v>
      </c>
      <c r="GZ97" s="36">
        <f t="shared" si="61"/>
        <v>0</v>
      </c>
      <c r="HA97" s="488">
        <f t="shared" si="62"/>
        <v>10000000000</v>
      </c>
      <c r="HB97" s="288"/>
      <c r="HC97" s="36">
        <f t="shared" si="63"/>
        <v>11</v>
      </c>
      <c r="HE97">
        <f t="shared" si="64"/>
        <v>50050400004</v>
      </c>
      <c r="HF97" s="36">
        <f t="shared" si="65"/>
        <v>11</v>
      </c>
      <c r="HG97" s="36">
        <f t="shared" si="66"/>
        <v>5</v>
      </c>
      <c r="HH97" s="36">
        <f t="shared" si="67"/>
        <v>4</v>
      </c>
      <c r="HI97" s="36">
        <f t="shared" si="73"/>
        <v>5</v>
      </c>
      <c r="HJ97" s="36">
        <f>VALUE(MID(HE97,1,HF97-2))</f>
        <v>500504000</v>
      </c>
      <c r="HK97" s="36">
        <v>5</v>
      </c>
      <c r="HL97" s="36"/>
      <c r="HM97">
        <f>IF(HH97="",$HM$90*2,($HM$90+HH97*100+HK97))</f>
        <v>10405</v>
      </c>
      <c r="HN97">
        <f t="shared" si="68"/>
        <v>10503</v>
      </c>
      <c r="HO97" s="36">
        <f t="shared" si="69"/>
        <v>5</v>
      </c>
      <c r="HP97" s="36">
        <f t="shared" si="70"/>
        <v>5</v>
      </c>
      <c r="HQ97" s="36">
        <f t="shared" si="71"/>
        <v>3</v>
      </c>
      <c r="HS97" s="36" t="s">
        <v>63</v>
      </c>
      <c r="HT97" s="36">
        <f>D36</f>
        <v>2</v>
      </c>
      <c r="HU97" s="36">
        <f>IF($HT$86=0,5,(IF(HQ97="","",(INDEX($HQ$93:$HQ$124,HT97)))))</f>
        <v>5</v>
      </c>
      <c r="HW97" s="36">
        <f>HU97</f>
        <v>5</v>
      </c>
      <c r="HX97" s="1">
        <f>HU97</f>
        <v>5</v>
      </c>
      <c r="IA97" s="36"/>
    </row>
    <row r="98" spans="51:235" hidden="1" x14ac:dyDescent="0.25">
      <c r="AY98" s="36">
        <f t="shared" si="72"/>
        <v>6</v>
      </c>
      <c r="AZ98" s="36">
        <f t="shared" si="44"/>
        <v>999</v>
      </c>
      <c r="BB98" s="36">
        <f t="shared" si="31"/>
        <v>23</v>
      </c>
      <c r="BC98" s="36" t="str">
        <f>'Tabulka kvalifikace'!D29</f>
        <v/>
      </c>
      <c r="BD98" s="36">
        <f>'Tabulka kvalifikace'!AD29</f>
        <v>0</v>
      </c>
      <c r="BF98" s="1">
        <f t="shared" si="26"/>
        <v>999</v>
      </c>
      <c r="BH98" s="1">
        <f t="shared" si="27"/>
        <v>999</v>
      </c>
      <c r="BK98" s="1" t="str">
        <f t="shared" si="28"/>
        <v/>
      </c>
      <c r="BL98" s="1" t="str">
        <f t="shared" si="29"/>
        <v/>
      </c>
      <c r="DM98" s="36">
        <f t="shared" si="42"/>
        <v>38</v>
      </c>
      <c r="DN98" s="36">
        <f>'Tabulka kvalifikace'!D45</f>
        <v>0</v>
      </c>
      <c r="DV98" s="36"/>
      <c r="ED98" s="36">
        <f>'Tabulka kvalifikace'!AD45</f>
        <v>0</v>
      </c>
      <c r="EF98" s="36">
        <f t="shared" si="21"/>
        <v>99</v>
      </c>
      <c r="EH98" s="36">
        <f t="shared" si="22"/>
        <v>99</v>
      </c>
      <c r="EJ98" s="36" t="str">
        <f t="shared" si="23"/>
        <v/>
      </c>
      <c r="EK98" s="36" t="str">
        <f t="shared" si="24"/>
        <v/>
      </c>
      <c r="GA98" s="36" t="str">
        <f>'Tabulka kvalifikace'!DJ86</f>
        <v/>
      </c>
      <c r="GB98" s="36">
        <f>'Tabulka kvalifikace'!DL86</f>
        <v>0</v>
      </c>
      <c r="GC98" s="36">
        <f>'Tabulka kvalifikace'!DM86</f>
        <v>0</v>
      </c>
      <c r="GD98" s="36">
        <f>'Tabulka kvalifikace'!DS86</f>
        <v>0</v>
      </c>
      <c r="GE98" s="36">
        <f>'Tabulka kvalifikace'!DT86</f>
        <v>0</v>
      </c>
      <c r="GF98" s="36">
        <f>'Tabulka kvalifikace'!DU86</f>
        <v>0</v>
      </c>
      <c r="GG98" s="36">
        <f>IF(GA98="",0,('Tabulka kvalifikace'!DV86))</f>
        <v>0</v>
      </c>
      <c r="GH98" s="36">
        <f>'Tabulka kvalifikace'!DW86</f>
        <v>0</v>
      </c>
      <c r="GI98" s="149" t="str">
        <f>'Tabulka kvalifikace'!DR86</f>
        <v/>
      </c>
      <c r="GJ98" s="136">
        <f t="shared" si="45"/>
        <v>0</v>
      </c>
      <c r="GK98" s="138">
        <f t="shared" si="46"/>
        <v>0</v>
      </c>
      <c r="GL98" s="36">
        <f t="shared" si="47"/>
        <v>0</v>
      </c>
      <c r="GM98" s="36">
        <f t="shared" si="48"/>
        <v>0</v>
      </c>
      <c r="GN98" s="36">
        <f t="shared" si="49"/>
        <v>0</v>
      </c>
      <c r="GO98" s="36">
        <f t="shared" si="50"/>
        <v>0</v>
      </c>
      <c r="GP98" s="149">
        <f t="shared" si="51"/>
        <v>0</v>
      </c>
      <c r="GQ98" s="36">
        <f t="shared" si="52"/>
        <v>0</v>
      </c>
      <c r="GR98" s="138">
        <f t="shared" si="53"/>
        <v>6</v>
      </c>
      <c r="GS98" s="36">
        <f t="shared" si="54"/>
        <v>999</v>
      </c>
      <c r="GT98" s="36" t="str">
        <f t="shared" si="55"/>
        <v/>
      </c>
      <c r="GU98" s="36">
        <f t="shared" si="56"/>
        <v>0</v>
      </c>
      <c r="GV98" s="36">
        <f t="shared" si="57"/>
        <v>0</v>
      </c>
      <c r="GW98" s="36">
        <f t="shared" si="58"/>
        <v>0</v>
      </c>
      <c r="GX98" s="36">
        <f t="shared" si="59"/>
        <v>0</v>
      </c>
      <c r="GY98" s="36">
        <f t="shared" si="60"/>
        <v>0</v>
      </c>
      <c r="GZ98" s="36">
        <f t="shared" si="61"/>
        <v>0</v>
      </c>
      <c r="HA98" s="488">
        <f t="shared" si="62"/>
        <v>10000000000</v>
      </c>
      <c r="HB98" s="288"/>
      <c r="HC98" s="36">
        <f t="shared" si="63"/>
        <v>11</v>
      </c>
      <c r="HE98">
        <f t="shared" si="64"/>
        <v>50050000002</v>
      </c>
      <c r="HF98" s="36">
        <f t="shared" si="65"/>
        <v>11</v>
      </c>
      <c r="HG98" s="36">
        <f t="shared" si="66"/>
        <v>5</v>
      </c>
      <c r="HH98" s="36">
        <f t="shared" si="67"/>
        <v>2</v>
      </c>
      <c r="HI98" s="36">
        <f t="shared" si="73"/>
        <v>6</v>
      </c>
      <c r="HJ98" s="36">
        <f>VALUE(MID(HE98,1,HF98-2))</f>
        <v>500500000</v>
      </c>
      <c r="HK98" s="36">
        <v>6</v>
      </c>
      <c r="HL98" s="36"/>
      <c r="HM98">
        <f>IF(HH98="",$HM$90*2,($HM$90+HH98*100+HK98))</f>
        <v>10206</v>
      </c>
      <c r="HN98">
        <f t="shared" si="68"/>
        <v>10602</v>
      </c>
      <c r="HO98" s="36">
        <f t="shared" si="69"/>
        <v>5</v>
      </c>
      <c r="HP98" s="36">
        <f t="shared" si="70"/>
        <v>6</v>
      </c>
      <c r="HQ98" s="36">
        <f t="shared" si="71"/>
        <v>2</v>
      </c>
      <c r="HS98" s="36" t="s">
        <v>63</v>
      </c>
      <c r="HT98" s="36">
        <f>D38</f>
        <v>4</v>
      </c>
      <c r="HU98" s="36">
        <f>IF($HT$86=0,6,(IF(HQ98="","",(INDEX($HQ$93:$HQ$124,HT98)))))</f>
        <v>6</v>
      </c>
      <c r="HW98" s="36">
        <f>HU98</f>
        <v>6</v>
      </c>
      <c r="HX98" s="1">
        <f>HU98</f>
        <v>6</v>
      </c>
      <c r="IA98" s="36"/>
    </row>
    <row r="99" spans="51:235" hidden="1" x14ac:dyDescent="0.25">
      <c r="AY99" s="36">
        <f t="shared" si="72"/>
        <v>7</v>
      </c>
      <c r="AZ99" s="36">
        <f t="shared" si="44"/>
        <v>999</v>
      </c>
      <c r="BB99" s="36">
        <f t="shared" si="31"/>
        <v>24</v>
      </c>
      <c r="BC99" s="36">
        <f>'Tabulka kvalifikace'!D30</f>
        <v>0</v>
      </c>
      <c r="BD99" s="36">
        <f>'Tabulka kvalifikace'!AD30</f>
        <v>0</v>
      </c>
      <c r="BF99" s="1">
        <f t="shared" si="26"/>
        <v>999</v>
      </c>
      <c r="BH99" s="1">
        <f t="shared" si="27"/>
        <v>999</v>
      </c>
      <c r="BK99" s="1" t="str">
        <f t="shared" si="28"/>
        <v/>
      </c>
      <c r="BL99" s="1" t="str">
        <f t="shared" si="29"/>
        <v/>
      </c>
      <c r="DM99" s="36">
        <f t="shared" si="42"/>
        <v>39</v>
      </c>
      <c r="DN99" s="36" t="str">
        <f>'Tabulka kvalifikace'!D46</f>
        <v/>
      </c>
      <c r="DV99" s="36"/>
      <c r="ED99" s="36">
        <f>'Tabulka kvalifikace'!AD46</f>
        <v>0</v>
      </c>
      <c r="EF99" s="36">
        <f t="shared" si="21"/>
        <v>99</v>
      </c>
      <c r="EH99" s="36">
        <f t="shared" si="22"/>
        <v>99</v>
      </c>
      <c r="EJ99" s="36" t="str">
        <f t="shared" si="23"/>
        <v/>
      </c>
      <c r="EK99" s="36" t="str">
        <f t="shared" si="24"/>
        <v/>
      </c>
      <c r="GA99" s="36" t="str">
        <f>'Tabulka kvalifikace'!DJ87</f>
        <v/>
      </c>
      <c r="GB99" s="36">
        <f>'Tabulka kvalifikace'!DL87</f>
        <v>0</v>
      </c>
      <c r="GC99" s="36">
        <f>'Tabulka kvalifikace'!DM87</f>
        <v>0</v>
      </c>
      <c r="GD99" s="36">
        <f>'Tabulka kvalifikace'!DS87</f>
        <v>0</v>
      </c>
      <c r="GE99" s="36">
        <f>'Tabulka kvalifikace'!DT87</f>
        <v>0</v>
      </c>
      <c r="GF99" s="36">
        <f>'Tabulka kvalifikace'!DU87</f>
        <v>0</v>
      </c>
      <c r="GG99" s="36">
        <f>IF(GA99="",0,('Tabulka kvalifikace'!DV87))</f>
        <v>0</v>
      </c>
      <c r="GH99" s="36">
        <f>'Tabulka kvalifikace'!DW87</f>
        <v>0</v>
      </c>
      <c r="GI99" s="149" t="str">
        <f>'Tabulka kvalifikace'!DR87</f>
        <v/>
      </c>
      <c r="GJ99" s="136">
        <f t="shared" si="45"/>
        <v>0</v>
      </c>
      <c r="GK99" s="138">
        <f t="shared" si="46"/>
        <v>0</v>
      </c>
      <c r="GL99" s="36">
        <f t="shared" si="47"/>
        <v>0</v>
      </c>
      <c r="GM99" s="36">
        <f t="shared" si="48"/>
        <v>0</v>
      </c>
      <c r="GN99" s="36">
        <f t="shared" si="49"/>
        <v>0</v>
      </c>
      <c r="GO99" s="36">
        <f t="shared" si="50"/>
        <v>0</v>
      </c>
      <c r="GP99" s="149">
        <f t="shared" si="51"/>
        <v>0</v>
      </c>
      <c r="GQ99" s="36">
        <f t="shared" si="52"/>
        <v>0</v>
      </c>
      <c r="GR99" s="138">
        <f t="shared" si="53"/>
        <v>7</v>
      </c>
      <c r="GS99" s="36">
        <f t="shared" si="54"/>
        <v>999</v>
      </c>
      <c r="GT99" s="36" t="str">
        <f t="shared" si="55"/>
        <v/>
      </c>
      <c r="GU99" s="36">
        <f t="shared" si="56"/>
        <v>0</v>
      </c>
      <c r="GV99" s="36">
        <f t="shared" si="57"/>
        <v>0</v>
      </c>
      <c r="GW99" s="36">
        <f t="shared" si="58"/>
        <v>0</v>
      </c>
      <c r="GX99" s="36">
        <f t="shared" si="59"/>
        <v>0</v>
      </c>
      <c r="GY99" s="36">
        <f t="shared" si="60"/>
        <v>0</v>
      </c>
      <c r="GZ99" s="36">
        <f t="shared" si="61"/>
        <v>0</v>
      </c>
      <c r="HA99" s="488">
        <f t="shared" si="62"/>
        <v>10000000000</v>
      </c>
      <c r="HB99" s="288"/>
      <c r="HC99" s="36">
        <f t="shared" si="63"/>
        <v>11</v>
      </c>
      <c r="HE99">
        <f t="shared" si="64"/>
        <v>10000000000</v>
      </c>
      <c r="HF99" s="36">
        <f t="shared" si="65"/>
        <v>11</v>
      </c>
      <c r="HG99" s="36">
        <f t="shared" si="66"/>
        <v>1</v>
      </c>
      <c r="HH99" s="36" t="str">
        <f t="shared" si="67"/>
        <v/>
      </c>
      <c r="HI99" s="36">
        <f t="shared" si="73"/>
        <v>7</v>
      </c>
      <c r="HJ99" s="36"/>
      <c r="HK99" s="36"/>
      <c r="HL99" s="36"/>
      <c r="HM99">
        <f t="shared" ref="HM99:HM124" si="74">IF(HH99="",$HM$90*2,($HM$90+HH99*100+HI99))</f>
        <v>20000</v>
      </c>
      <c r="HN99">
        <f t="shared" si="68"/>
        <v>20000</v>
      </c>
      <c r="HO99" s="36">
        <f t="shared" si="69"/>
        <v>5</v>
      </c>
      <c r="HP99" s="36" t="str">
        <f t="shared" si="70"/>
        <v/>
      </c>
      <c r="HQ99" s="36" t="str">
        <f t="shared" si="71"/>
        <v/>
      </c>
      <c r="HU99" s="36"/>
    </row>
    <row r="100" spans="51:235" hidden="1" x14ac:dyDescent="0.25">
      <c r="AY100" s="36">
        <f t="shared" si="72"/>
        <v>8</v>
      </c>
      <c r="AZ100" s="36">
        <f t="shared" si="44"/>
        <v>999</v>
      </c>
      <c r="BB100" s="36">
        <f t="shared" si="31"/>
        <v>25</v>
      </c>
      <c r="BC100" s="36" t="str">
        <f>'Tabulka kvalifikace'!D31</f>
        <v/>
      </c>
      <c r="BD100" s="36">
        <f>'Tabulka kvalifikace'!AD31</f>
        <v>0</v>
      </c>
      <c r="BF100" s="1">
        <f t="shared" si="26"/>
        <v>999</v>
      </c>
      <c r="BH100" s="1">
        <f t="shared" si="27"/>
        <v>999</v>
      </c>
      <c r="BK100" s="1" t="str">
        <f t="shared" si="28"/>
        <v/>
      </c>
      <c r="BL100" s="1" t="str">
        <f t="shared" si="29"/>
        <v/>
      </c>
      <c r="DM100" s="36">
        <f t="shared" si="42"/>
        <v>40</v>
      </c>
      <c r="DN100" s="36">
        <f>'Tabulka kvalifikace'!D47</f>
        <v>0</v>
      </c>
      <c r="DV100" s="36"/>
      <c r="ED100" s="36">
        <f>'Tabulka kvalifikace'!AD47</f>
        <v>0</v>
      </c>
      <c r="EF100" s="36">
        <f t="shared" si="21"/>
        <v>99</v>
      </c>
      <c r="EH100" s="36">
        <f t="shared" si="22"/>
        <v>99</v>
      </c>
      <c r="EJ100" s="36" t="str">
        <f t="shared" si="23"/>
        <v/>
      </c>
      <c r="EK100" s="36" t="str">
        <f t="shared" si="24"/>
        <v/>
      </c>
      <c r="GA100" s="36" t="str">
        <f>'Tabulka kvalifikace'!DJ88</f>
        <v/>
      </c>
      <c r="GB100" s="36">
        <f>'Tabulka kvalifikace'!DL88</f>
        <v>0</v>
      </c>
      <c r="GC100" s="36">
        <f>'Tabulka kvalifikace'!DM88</f>
        <v>0</v>
      </c>
      <c r="GD100" s="36">
        <f>'Tabulka kvalifikace'!DS88</f>
        <v>0</v>
      </c>
      <c r="GE100" s="36">
        <f>'Tabulka kvalifikace'!DT88</f>
        <v>0</v>
      </c>
      <c r="GF100" s="36">
        <f>'Tabulka kvalifikace'!DU88</f>
        <v>0</v>
      </c>
      <c r="GG100" s="36">
        <f>IF(GA100="",0,('Tabulka kvalifikace'!DV88))</f>
        <v>0</v>
      </c>
      <c r="GH100" s="36">
        <f>'Tabulka kvalifikace'!DW88</f>
        <v>0</v>
      </c>
      <c r="GI100" s="149" t="str">
        <f>'Tabulka kvalifikace'!DR88</f>
        <v/>
      </c>
      <c r="GJ100" s="136">
        <f t="shared" si="45"/>
        <v>0</v>
      </c>
      <c r="GK100" s="138">
        <f t="shared" si="46"/>
        <v>0</v>
      </c>
      <c r="GL100" s="36">
        <f t="shared" si="47"/>
        <v>0</v>
      </c>
      <c r="GM100" s="36">
        <f t="shared" si="48"/>
        <v>0</v>
      </c>
      <c r="GN100" s="36">
        <f t="shared" si="49"/>
        <v>0</v>
      </c>
      <c r="GO100" s="36">
        <f t="shared" si="50"/>
        <v>0</v>
      </c>
      <c r="GP100" s="149">
        <f t="shared" si="51"/>
        <v>0</v>
      </c>
      <c r="GQ100" s="36">
        <f t="shared" si="52"/>
        <v>0</v>
      </c>
      <c r="GR100" s="138">
        <f t="shared" si="53"/>
        <v>8</v>
      </c>
      <c r="GS100" s="36">
        <f t="shared" si="54"/>
        <v>999</v>
      </c>
      <c r="GT100" s="36" t="str">
        <f t="shared" si="55"/>
        <v/>
      </c>
      <c r="GU100" s="36">
        <f t="shared" si="56"/>
        <v>0</v>
      </c>
      <c r="GV100" s="36">
        <f t="shared" si="57"/>
        <v>0</v>
      </c>
      <c r="GW100" s="36">
        <f t="shared" si="58"/>
        <v>0</v>
      </c>
      <c r="GX100" s="36">
        <f t="shared" si="59"/>
        <v>0</v>
      </c>
      <c r="GY100" s="36">
        <f t="shared" si="60"/>
        <v>0</v>
      </c>
      <c r="GZ100" s="36">
        <f t="shared" si="61"/>
        <v>0</v>
      </c>
      <c r="HA100" s="488">
        <f t="shared" si="62"/>
        <v>10000000000</v>
      </c>
      <c r="HB100" s="288"/>
      <c r="HC100" s="36">
        <f t="shared" si="63"/>
        <v>11</v>
      </c>
      <c r="HE100">
        <f t="shared" si="64"/>
        <v>10000000000</v>
      </c>
      <c r="HF100" s="36">
        <f t="shared" si="65"/>
        <v>11</v>
      </c>
      <c r="HG100" s="36">
        <f t="shared" si="66"/>
        <v>1</v>
      </c>
      <c r="HH100" s="36" t="str">
        <f t="shared" si="67"/>
        <v/>
      </c>
      <c r="HI100" s="36">
        <f t="shared" si="73"/>
        <v>8</v>
      </c>
      <c r="HJ100" s="36"/>
      <c r="HK100" s="36"/>
      <c r="HL100" s="36"/>
      <c r="HM100">
        <f t="shared" si="74"/>
        <v>20000</v>
      </c>
      <c r="HN100">
        <f t="shared" si="68"/>
        <v>20000</v>
      </c>
      <c r="HO100" s="36">
        <f t="shared" si="69"/>
        <v>5</v>
      </c>
      <c r="HP100" s="36" t="str">
        <f t="shared" si="70"/>
        <v/>
      </c>
      <c r="HQ100" s="36" t="str">
        <f t="shared" si="71"/>
        <v/>
      </c>
      <c r="HU100" s="36"/>
    </row>
    <row r="101" spans="51:235" hidden="1" x14ac:dyDescent="0.25">
      <c r="AY101" s="36">
        <f t="shared" si="72"/>
        <v>9</v>
      </c>
      <c r="AZ101" s="36">
        <f t="shared" si="44"/>
        <v>999</v>
      </c>
      <c r="BB101" s="36">
        <f t="shared" si="31"/>
        <v>26</v>
      </c>
      <c r="BC101" s="36">
        <f>'Tabulka kvalifikace'!D32</f>
        <v>0</v>
      </c>
      <c r="BD101" s="36">
        <f>'Tabulka kvalifikace'!AD32</f>
        <v>0</v>
      </c>
      <c r="BF101" s="1">
        <f t="shared" si="26"/>
        <v>999</v>
      </c>
      <c r="BH101" s="1">
        <f t="shared" si="27"/>
        <v>999</v>
      </c>
      <c r="BK101" s="1" t="str">
        <f t="shared" si="28"/>
        <v/>
      </c>
      <c r="BL101" s="1" t="str">
        <f t="shared" si="29"/>
        <v/>
      </c>
      <c r="DM101" s="36">
        <f t="shared" si="42"/>
        <v>41</v>
      </c>
      <c r="DN101" s="36" t="str">
        <f>'Tabulka kvalifikace'!D48</f>
        <v/>
      </c>
      <c r="DV101" s="36"/>
      <c r="ED101" s="36">
        <f>'Tabulka kvalifikace'!AD48</f>
        <v>0</v>
      </c>
      <c r="EF101" s="36">
        <f t="shared" si="21"/>
        <v>99</v>
      </c>
      <c r="EH101" s="36">
        <f t="shared" si="22"/>
        <v>99</v>
      </c>
      <c r="EJ101" s="36" t="str">
        <f t="shared" si="23"/>
        <v/>
      </c>
      <c r="EK101" s="36" t="str">
        <f t="shared" si="24"/>
        <v/>
      </c>
      <c r="GA101" s="36" t="str">
        <f>'Tabulka kvalifikace'!DJ89</f>
        <v/>
      </c>
      <c r="GB101" s="36">
        <f>'Tabulka kvalifikace'!DL89</f>
        <v>0</v>
      </c>
      <c r="GC101" s="36">
        <f>'Tabulka kvalifikace'!DM89</f>
        <v>0</v>
      </c>
      <c r="GD101" s="36">
        <f>'Tabulka kvalifikace'!DS89</f>
        <v>0</v>
      </c>
      <c r="GE101" s="36">
        <f>'Tabulka kvalifikace'!DT89</f>
        <v>0</v>
      </c>
      <c r="GF101" s="36">
        <f>'Tabulka kvalifikace'!DU89</f>
        <v>0</v>
      </c>
      <c r="GG101" s="36">
        <f>IF(GA101="",0,('Tabulka kvalifikace'!DV89))</f>
        <v>0</v>
      </c>
      <c r="GH101" s="36">
        <f>'Tabulka kvalifikace'!DW89</f>
        <v>0</v>
      </c>
      <c r="GI101" s="149" t="str">
        <f>'Tabulka kvalifikace'!DR89</f>
        <v/>
      </c>
      <c r="GJ101" s="136">
        <f t="shared" si="45"/>
        <v>0</v>
      </c>
      <c r="GK101" s="138">
        <f t="shared" si="46"/>
        <v>0</v>
      </c>
      <c r="GL101" s="36">
        <f t="shared" si="47"/>
        <v>0</v>
      </c>
      <c r="GM101" s="36">
        <f t="shared" si="48"/>
        <v>0</v>
      </c>
      <c r="GN101" s="36">
        <f t="shared" si="49"/>
        <v>0</v>
      </c>
      <c r="GO101" s="36">
        <f t="shared" si="50"/>
        <v>0</v>
      </c>
      <c r="GP101" s="149">
        <f t="shared" si="51"/>
        <v>0</v>
      </c>
      <c r="GQ101" s="36">
        <f t="shared" si="52"/>
        <v>0</v>
      </c>
      <c r="GR101" s="138">
        <f t="shared" si="53"/>
        <v>9</v>
      </c>
      <c r="GS101" s="36">
        <f t="shared" si="54"/>
        <v>999</v>
      </c>
      <c r="GT101" s="36" t="str">
        <f t="shared" si="55"/>
        <v/>
      </c>
      <c r="GU101" s="36">
        <f t="shared" si="56"/>
        <v>0</v>
      </c>
      <c r="GV101" s="36">
        <f t="shared" si="57"/>
        <v>0</v>
      </c>
      <c r="GW101" s="36">
        <f t="shared" si="58"/>
        <v>0</v>
      </c>
      <c r="GX101" s="36">
        <f t="shared" si="59"/>
        <v>0</v>
      </c>
      <c r="GY101" s="36">
        <f t="shared" si="60"/>
        <v>0</v>
      </c>
      <c r="GZ101" s="36">
        <f t="shared" si="61"/>
        <v>0</v>
      </c>
      <c r="HA101" s="488">
        <f t="shared" si="62"/>
        <v>10000000000</v>
      </c>
      <c r="HB101" s="288"/>
      <c r="HC101" s="36">
        <f t="shared" si="63"/>
        <v>11</v>
      </c>
      <c r="HE101">
        <f t="shared" si="64"/>
        <v>10000000000</v>
      </c>
      <c r="HF101" s="36">
        <f t="shared" si="65"/>
        <v>11</v>
      </c>
      <c r="HG101" s="36">
        <f t="shared" si="66"/>
        <v>1</v>
      </c>
      <c r="HH101" s="36" t="str">
        <f t="shared" si="67"/>
        <v/>
      </c>
      <c r="HI101" s="36">
        <f t="shared" si="73"/>
        <v>9</v>
      </c>
      <c r="HJ101" s="36"/>
      <c r="HK101" s="36"/>
      <c r="HL101" s="36"/>
      <c r="HM101">
        <f t="shared" si="74"/>
        <v>20000</v>
      </c>
      <c r="HN101">
        <f>SMALL($HM$93:$HM$124,HI101)</f>
        <v>20000</v>
      </c>
      <c r="HO101" s="36">
        <f t="shared" si="69"/>
        <v>5</v>
      </c>
      <c r="HP101" s="36" t="str">
        <f t="shared" si="70"/>
        <v/>
      </c>
      <c r="HQ101" s="36" t="str">
        <f>IF(HN101=($HM$90*2),"",(VALUE(MID(HN101,HO101-1,2))))</f>
        <v/>
      </c>
      <c r="HU101" s="36"/>
    </row>
    <row r="102" spans="51:235" hidden="1" x14ac:dyDescent="0.25">
      <c r="AY102" s="36">
        <f t="shared" si="72"/>
        <v>10</v>
      </c>
      <c r="AZ102" s="36">
        <f t="shared" si="44"/>
        <v>999</v>
      </c>
      <c r="BB102" s="36">
        <f t="shared" si="31"/>
        <v>27</v>
      </c>
      <c r="BC102" s="36" t="str">
        <f>'Tabulka kvalifikace'!D33</f>
        <v/>
      </c>
      <c r="BD102" s="36">
        <f>'Tabulka kvalifikace'!AD33</f>
        <v>0</v>
      </c>
      <c r="BF102" s="1">
        <f t="shared" si="26"/>
        <v>999</v>
      </c>
      <c r="BH102" s="1">
        <f t="shared" si="27"/>
        <v>999</v>
      </c>
      <c r="BK102" s="1" t="str">
        <f t="shared" si="28"/>
        <v/>
      </c>
      <c r="BL102" s="1" t="str">
        <f t="shared" si="29"/>
        <v/>
      </c>
      <c r="DM102" s="36">
        <f t="shared" si="42"/>
        <v>42</v>
      </c>
      <c r="DN102" s="36">
        <f>'Tabulka kvalifikace'!D49</f>
        <v>0</v>
      </c>
      <c r="DV102" s="36"/>
      <c r="ED102" s="36">
        <f>'Tabulka kvalifikace'!AD49</f>
        <v>0</v>
      </c>
      <c r="EF102" s="36">
        <f t="shared" si="21"/>
        <v>99</v>
      </c>
      <c r="EH102" s="36">
        <f t="shared" si="22"/>
        <v>99</v>
      </c>
      <c r="EJ102" s="36" t="str">
        <f t="shared" si="23"/>
        <v/>
      </c>
      <c r="EK102" s="36" t="str">
        <f t="shared" si="24"/>
        <v/>
      </c>
      <c r="GA102" s="36" t="str">
        <f>'Tabulka kvalifikace'!DJ90</f>
        <v/>
      </c>
      <c r="GB102" s="36">
        <f>'Tabulka kvalifikace'!DL90</f>
        <v>0</v>
      </c>
      <c r="GC102" s="36">
        <f>'Tabulka kvalifikace'!DM90</f>
        <v>0</v>
      </c>
      <c r="GD102" s="36">
        <f>'Tabulka kvalifikace'!DS90</f>
        <v>0</v>
      </c>
      <c r="GE102" s="36">
        <f>'Tabulka kvalifikace'!DT90</f>
        <v>0</v>
      </c>
      <c r="GF102" s="36">
        <f>'Tabulka kvalifikace'!DU90</f>
        <v>0</v>
      </c>
      <c r="GG102" s="36">
        <f>IF(GA102="",0,('Tabulka kvalifikace'!DV90))</f>
        <v>0</v>
      </c>
      <c r="GH102" s="36">
        <f>'Tabulka kvalifikace'!DW90</f>
        <v>0</v>
      </c>
      <c r="GI102" s="149" t="str">
        <f>'Tabulka kvalifikace'!DR90</f>
        <v/>
      </c>
      <c r="GJ102" s="136">
        <f t="shared" si="45"/>
        <v>0</v>
      </c>
      <c r="GK102" s="138">
        <f t="shared" si="46"/>
        <v>0</v>
      </c>
      <c r="GL102" s="36">
        <f t="shared" si="47"/>
        <v>0</v>
      </c>
      <c r="GM102" s="36">
        <f t="shared" si="48"/>
        <v>0</v>
      </c>
      <c r="GN102" s="36">
        <f t="shared" si="49"/>
        <v>0</v>
      </c>
      <c r="GO102" s="36">
        <f t="shared" si="50"/>
        <v>0</v>
      </c>
      <c r="GP102" s="149">
        <f t="shared" si="51"/>
        <v>0</v>
      </c>
      <c r="GQ102" s="36">
        <f t="shared" si="52"/>
        <v>0</v>
      </c>
      <c r="GR102" s="138">
        <f t="shared" si="53"/>
        <v>10</v>
      </c>
      <c r="GS102" s="36">
        <f t="shared" si="54"/>
        <v>999</v>
      </c>
      <c r="GT102" s="36" t="str">
        <f t="shared" si="55"/>
        <v/>
      </c>
      <c r="GU102" s="36">
        <f t="shared" si="56"/>
        <v>0</v>
      </c>
      <c r="GV102" s="36">
        <f t="shared" si="57"/>
        <v>0</v>
      </c>
      <c r="GW102" s="36">
        <f t="shared" si="58"/>
        <v>0</v>
      </c>
      <c r="GX102" s="36">
        <f t="shared" si="59"/>
        <v>0</v>
      </c>
      <c r="GY102" s="36">
        <f t="shared" si="60"/>
        <v>0</v>
      </c>
      <c r="GZ102" s="36">
        <f t="shared" si="61"/>
        <v>0</v>
      </c>
      <c r="HA102" s="488">
        <f t="shared" si="62"/>
        <v>10000000000</v>
      </c>
      <c r="HB102" s="288"/>
      <c r="HC102" s="36">
        <f t="shared" si="63"/>
        <v>11</v>
      </c>
      <c r="HE102">
        <f t="shared" si="64"/>
        <v>10000000000</v>
      </c>
      <c r="HF102" s="36">
        <f t="shared" si="65"/>
        <v>11</v>
      </c>
      <c r="HG102" s="36">
        <f t="shared" si="66"/>
        <v>1</v>
      </c>
      <c r="HH102" s="36" t="str">
        <f t="shared" si="67"/>
        <v/>
      </c>
      <c r="HI102" s="36">
        <f t="shared" si="73"/>
        <v>10</v>
      </c>
      <c r="HJ102" s="36"/>
      <c r="HK102" s="36"/>
      <c r="HL102" s="36"/>
      <c r="HM102">
        <f t="shared" si="74"/>
        <v>20000</v>
      </c>
      <c r="HN102">
        <f t="shared" si="68"/>
        <v>20000</v>
      </c>
      <c r="HO102" s="36">
        <f t="shared" si="69"/>
        <v>5</v>
      </c>
      <c r="HP102" s="36" t="str">
        <f t="shared" si="70"/>
        <v/>
      </c>
      <c r="HQ102" s="36" t="str">
        <f t="shared" si="71"/>
        <v/>
      </c>
      <c r="HU102" s="36"/>
    </row>
    <row r="103" spans="51:235" hidden="1" x14ac:dyDescent="0.25">
      <c r="AY103" s="36">
        <f t="shared" si="72"/>
        <v>11</v>
      </c>
      <c r="AZ103" s="36">
        <f t="shared" si="44"/>
        <v>999</v>
      </c>
      <c r="BB103" s="36">
        <f t="shared" si="31"/>
        <v>28</v>
      </c>
      <c r="BC103" s="36">
        <f>'Tabulka kvalifikace'!D34</f>
        <v>0</v>
      </c>
      <c r="BD103" s="36">
        <f>'Tabulka kvalifikace'!AD34</f>
        <v>0</v>
      </c>
      <c r="BF103" s="1">
        <f t="shared" si="26"/>
        <v>999</v>
      </c>
      <c r="BH103" s="1">
        <f t="shared" si="27"/>
        <v>999</v>
      </c>
      <c r="BK103" s="1" t="str">
        <f t="shared" si="28"/>
        <v/>
      </c>
      <c r="BL103" s="1" t="str">
        <f t="shared" si="29"/>
        <v/>
      </c>
      <c r="DM103" s="36">
        <f t="shared" si="42"/>
        <v>43</v>
      </c>
      <c r="DN103" s="36" t="str">
        <f>'Tabulka kvalifikace'!D50</f>
        <v/>
      </c>
      <c r="DV103" s="36"/>
      <c r="ED103" s="36">
        <f>'Tabulka kvalifikace'!AD50</f>
        <v>0</v>
      </c>
      <c r="EF103" s="36">
        <f t="shared" si="21"/>
        <v>99</v>
      </c>
      <c r="EH103" s="36">
        <f t="shared" si="22"/>
        <v>99</v>
      </c>
      <c r="EJ103" s="36" t="str">
        <f t="shared" si="23"/>
        <v/>
      </c>
      <c r="EK103" s="36" t="str">
        <f t="shared" si="24"/>
        <v/>
      </c>
      <c r="GA103" s="36" t="str">
        <f>'Tabulka kvalifikace'!DJ91</f>
        <v/>
      </c>
      <c r="GB103" s="36">
        <f>'Tabulka kvalifikace'!DL91</f>
        <v>0</v>
      </c>
      <c r="GC103" s="36">
        <f>'Tabulka kvalifikace'!DM91</f>
        <v>0</v>
      </c>
      <c r="GD103" s="36">
        <f>'Tabulka kvalifikace'!DS91</f>
        <v>0</v>
      </c>
      <c r="GE103" s="36">
        <f>'Tabulka kvalifikace'!DT91</f>
        <v>0</v>
      </c>
      <c r="GF103" s="36">
        <f>'Tabulka kvalifikace'!DU91</f>
        <v>0</v>
      </c>
      <c r="GG103" s="36">
        <f>IF(GA103="",0,('Tabulka kvalifikace'!DV91))</f>
        <v>0</v>
      </c>
      <c r="GH103" s="36">
        <f>'Tabulka kvalifikace'!DW91</f>
        <v>0</v>
      </c>
      <c r="GI103" s="149" t="str">
        <f>'Tabulka kvalifikace'!DR91</f>
        <v/>
      </c>
      <c r="GJ103" s="136">
        <f t="shared" si="45"/>
        <v>0</v>
      </c>
      <c r="GK103" s="138">
        <f t="shared" si="46"/>
        <v>0</v>
      </c>
      <c r="GL103" s="36">
        <f t="shared" si="47"/>
        <v>0</v>
      </c>
      <c r="GM103" s="36">
        <f t="shared" si="48"/>
        <v>0</v>
      </c>
      <c r="GN103" s="36">
        <f t="shared" si="49"/>
        <v>0</v>
      </c>
      <c r="GO103" s="36">
        <f t="shared" si="50"/>
        <v>0</v>
      </c>
      <c r="GP103" s="149">
        <f t="shared" si="51"/>
        <v>0</v>
      </c>
      <c r="GQ103" s="36">
        <f t="shared" si="52"/>
        <v>0</v>
      </c>
      <c r="GR103" s="138">
        <f t="shared" si="53"/>
        <v>11</v>
      </c>
      <c r="GS103" s="36">
        <f t="shared" si="54"/>
        <v>999</v>
      </c>
      <c r="GT103" s="36" t="str">
        <f t="shared" si="55"/>
        <v/>
      </c>
      <c r="GU103" s="36">
        <f t="shared" si="56"/>
        <v>0</v>
      </c>
      <c r="GV103" s="36">
        <f t="shared" si="57"/>
        <v>0</v>
      </c>
      <c r="GW103" s="36">
        <f t="shared" si="58"/>
        <v>0</v>
      </c>
      <c r="GX103" s="36">
        <f t="shared" si="59"/>
        <v>0</v>
      </c>
      <c r="GY103" s="36">
        <f t="shared" si="60"/>
        <v>0</v>
      </c>
      <c r="GZ103" s="36">
        <f t="shared" si="61"/>
        <v>0</v>
      </c>
      <c r="HA103" s="488">
        <f t="shared" si="62"/>
        <v>10000000000</v>
      </c>
      <c r="HB103" s="288"/>
      <c r="HC103" s="36">
        <f t="shared" si="63"/>
        <v>11</v>
      </c>
      <c r="HE103">
        <f t="shared" si="64"/>
        <v>10000000000</v>
      </c>
      <c r="HF103" s="36">
        <f t="shared" si="65"/>
        <v>11</v>
      </c>
      <c r="HG103" s="36">
        <f t="shared" si="66"/>
        <v>1</v>
      </c>
      <c r="HH103" s="36" t="str">
        <f t="shared" si="67"/>
        <v/>
      </c>
      <c r="HI103" s="36">
        <f t="shared" si="73"/>
        <v>11</v>
      </c>
      <c r="HJ103" s="36"/>
      <c r="HK103" s="36"/>
      <c r="HL103" s="36"/>
      <c r="HM103">
        <f t="shared" si="74"/>
        <v>20000</v>
      </c>
      <c r="HN103">
        <f t="shared" si="68"/>
        <v>20000</v>
      </c>
      <c r="HO103" s="36">
        <f t="shared" si="69"/>
        <v>5</v>
      </c>
      <c r="HP103" s="36" t="str">
        <f t="shared" ref="HP103:HP124" si="75">IF((HN103=($HM$90*2)),"",(VALUE(MID(HN103,2,2))))</f>
        <v/>
      </c>
      <c r="HQ103" s="36" t="str">
        <f t="shared" ref="HQ103:HQ124" si="76">IF(HN103=($HM$90*2),"",(VALUE(MID(HN103,HO103-1,2))))</f>
        <v/>
      </c>
      <c r="HU103" s="36"/>
    </row>
    <row r="104" spans="51:235" hidden="1" x14ac:dyDescent="0.25">
      <c r="AY104" s="36">
        <f t="shared" si="72"/>
        <v>12</v>
      </c>
      <c r="AZ104" s="36">
        <f t="shared" si="44"/>
        <v>999</v>
      </c>
      <c r="BB104" s="36">
        <f t="shared" si="31"/>
        <v>29</v>
      </c>
      <c r="BC104" s="36" t="str">
        <f>'Tabulka kvalifikace'!D35</f>
        <v/>
      </c>
      <c r="BD104" s="36">
        <f>'Tabulka kvalifikace'!AD35</f>
        <v>0</v>
      </c>
      <c r="BF104" s="1">
        <f t="shared" si="26"/>
        <v>999</v>
      </c>
      <c r="BH104" s="1">
        <f t="shared" si="27"/>
        <v>999</v>
      </c>
      <c r="BK104" s="1" t="str">
        <f t="shared" si="28"/>
        <v/>
      </c>
      <c r="BL104" s="1" t="str">
        <f t="shared" si="29"/>
        <v/>
      </c>
      <c r="DM104" s="36">
        <f t="shared" si="42"/>
        <v>44</v>
      </c>
      <c r="DN104" s="36">
        <f>'Tabulka kvalifikace'!D51</f>
        <v>0</v>
      </c>
      <c r="DV104" s="36"/>
      <c r="ED104" s="36">
        <f>'Tabulka kvalifikace'!AD51</f>
        <v>0</v>
      </c>
      <c r="EF104" s="36">
        <f t="shared" si="21"/>
        <v>99</v>
      </c>
      <c r="EH104" s="36">
        <f t="shared" si="22"/>
        <v>99</v>
      </c>
      <c r="EJ104" s="36" t="str">
        <f t="shared" si="23"/>
        <v/>
      </c>
      <c r="EK104" s="36" t="str">
        <f t="shared" si="24"/>
        <v/>
      </c>
      <c r="GA104" s="36" t="str">
        <f>'Tabulka kvalifikace'!DJ92</f>
        <v/>
      </c>
      <c r="GB104" s="36">
        <f>'Tabulka kvalifikace'!DL92</f>
        <v>0</v>
      </c>
      <c r="GC104" s="36">
        <f>'Tabulka kvalifikace'!DM92</f>
        <v>0</v>
      </c>
      <c r="GD104" s="36">
        <f>'Tabulka kvalifikace'!DS92</f>
        <v>0</v>
      </c>
      <c r="GE104" s="36">
        <f>'Tabulka kvalifikace'!DT92</f>
        <v>0</v>
      </c>
      <c r="GF104" s="36">
        <f>'Tabulka kvalifikace'!DU92</f>
        <v>0</v>
      </c>
      <c r="GG104" s="36">
        <f>IF(GA104="",0,('Tabulka kvalifikace'!DV92))</f>
        <v>0</v>
      </c>
      <c r="GH104" s="36">
        <f>'Tabulka kvalifikace'!DW92</f>
        <v>0</v>
      </c>
      <c r="GI104" s="149" t="str">
        <f>'Tabulka kvalifikace'!DR92</f>
        <v/>
      </c>
      <c r="GJ104" s="136">
        <f t="shared" si="45"/>
        <v>0</v>
      </c>
      <c r="GK104" s="138">
        <f t="shared" si="46"/>
        <v>0</v>
      </c>
      <c r="GL104" s="36">
        <f t="shared" si="47"/>
        <v>0</v>
      </c>
      <c r="GM104" s="36">
        <f t="shared" si="48"/>
        <v>0</v>
      </c>
      <c r="GN104" s="36">
        <f t="shared" si="49"/>
        <v>0</v>
      </c>
      <c r="GO104" s="36">
        <f t="shared" si="50"/>
        <v>0</v>
      </c>
      <c r="GP104" s="149">
        <f t="shared" si="51"/>
        <v>0</v>
      </c>
      <c r="GQ104" s="36">
        <f t="shared" si="52"/>
        <v>0</v>
      </c>
      <c r="GR104" s="138">
        <f t="shared" si="53"/>
        <v>12</v>
      </c>
      <c r="GS104" s="36">
        <f t="shared" si="54"/>
        <v>999</v>
      </c>
      <c r="GT104" s="36" t="str">
        <f t="shared" si="55"/>
        <v/>
      </c>
      <c r="GU104" s="36">
        <f t="shared" si="56"/>
        <v>0</v>
      </c>
      <c r="GV104" s="36">
        <f t="shared" si="57"/>
        <v>0</v>
      </c>
      <c r="GW104" s="36">
        <f t="shared" si="58"/>
        <v>0</v>
      </c>
      <c r="GX104" s="36">
        <f t="shared" si="59"/>
        <v>0</v>
      </c>
      <c r="GY104" s="36">
        <f t="shared" si="60"/>
        <v>0</v>
      </c>
      <c r="GZ104" s="36">
        <f t="shared" si="61"/>
        <v>0</v>
      </c>
      <c r="HA104" s="488">
        <f t="shared" si="62"/>
        <v>10000000000</v>
      </c>
      <c r="HB104" s="288"/>
      <c r="HC104" s="36">
        <f t="shared" si="63"/>
        <v>11</v>
      </c>
      <c r="HE104">
        <f t="shared" si="64"/>
        <v>10000000000</v>
      </c>
      <c r="HF104" s="36">
        <f t="shared" si="65"/>
        <v>11</v>
      </c>
      <c r="HG104" s="36">
        <f t="shared" si="66"/>
        <v>1</v>
      </c>
      <c r="HH104" s="36" t="str">
        <f t="shared" si="67"/>
        <v/>
      </c>
      <c r="HI104" s="36">
        <f t="shared" si="73"/>
        <v>12</v>
      </c>
      <c r="HJ104" s="36"/>
      <c r="HK104" s="36"/>
      <c r="HL104" s="36"/>
      <c r="HM104">
        <f t="shared" si="74"/>
        <v>20000</v>
      </c>
      <c r="HN104">
        <f t="shared" si="68"/>
        <v>20000</v>
      </c>
      <c r="HO104" s="36">
        <f t="shared" si="69"/>
        <v>5</v>
      </c>
      <c r="HP104" s="36" t="str">
        <f t="shared" si="75"/>
        <v/>
      </c>
      <c r="HQ104" s="36" t="str">
        <f t="shared" si="76"/>
        <v/>
      </c>
      <c r="HU104" s="36"/>
    </row>
    <row r="105" spans="51:235" hidden="1" x14ac:dyDescent="0.25">
      <c r="AY105" s="36">
        <f t="shared" si="72"/>
        <v>13</v>
      </c>
      <c r="AZ105" s="36">
        <f t="shared" si="44"/>
        <v>999</v>
      </c>
      <c r="BB105" s="36">
        <f t="shared" si="31"/>
        <v>30</v>
      </c>
      <c r="BC105" s="36">
        <f>'Tabulka kvalifikace'!D36</f>
        <v>0</v>
      </c>
      <c r="BD105" s="36">
        <f>'Tabulka kvalifikace'!AD36</f>
        <v>0</v>
      </c>
      <c r="BF105" s="1">
        <f t="shared" si="26"/>
        <v>999</v>
      </c>
      <c r="BH105" s="1">
        <f t="shared" si="27"/>
        <v>999</v>
      </c>
      <c r="BK105" s="1" t="str">
        <f t="shared" si="28"/>
        <v/>
      </c>
      <c r="BL105" s="1" t="str">
        <f t="shared" si="29"/>
        <v/>
      </c>
      <c r="DM105" s="36">
        <f t="shared" si="42"/>
        <v>45</v>
      </c>
      <c r="DN105" s="36" t="str">
        <f>'Tabulka kvalifikace'!D52</f>
        <v/>
      </c>
      <c r="DV105" s="36"/>
      <c r="ED105" s="36">
        <f>'Tabulka kvalifikace'!AD52</f>
        <v>0</v>
      </c>
      <c r="EF105" s="36">
        <f t="shared" si="21"/>
        <v>99</v>
      </c>
      <c r="EH105" s="36">
        <f t="shared" si="22"/>
        <v>99</v>
      </c>
      <c r="EJ105" s="36" t="str">
        <f t="shared" si="23"/>
        <v/>
      </c>
      <c r="EK105" s="36" t="str">
        <f t="shared" si="24"/>
        <v/>
      </c>
      <c r="GA105" s="36" t="str">
        <f>'Tabulka kvalifikace'!DJ93</f>
        <v/>
      </c>
      <c r="GB105" s="36">
        <f>'Tabulka kvalifikace'!DL93</f>
        <v>0</v>
      </c>
      <c r="GC105" s="36">
        <f>'Tabulka kvalifikace'!DM93</f>
        <v>0</v>
      </c>
      <c r="GD105" s="36">
        <f>'Tabulka kvalifikace'!DS93</f>
        <v>0</v>
      </c>
      <c r="GE105" s="36">
        <f>'Tabulka kvalifikace'!DT93</f>
        <v>0</v>
      </c>
      <c r="GF105" s="36">
        <f>'Tabulka kvalifikace'!DU93</f>
        <v>0</v>
      </c>
      <c r="GG105" s="36">
        <f>IF(GA105="",0,('Tabulka kvalifikace'!DV93))</f>
        <v>0</v>
      </c>
      <c r="GH105" s="36">
        <f>'Tabulka kvalifikace'!DW93</f>
        <v>0</v>
      </c>
      <c r="GI105" s="149" t="str">
        <f>'Tabulka kvalifikace'!DR93</f>
        <v/>
      </c>
      <c r="GJ105" s="136">
        <f t="shared" si="45"/>
        <v>0</v>
      </c>
      <c r="GK105" s="138">
        <f t="shared" si="46"/>
        <v>0</v>
      </c>
      <c r="GL105" s="36">
        <f t="shared" si="47"/>
        <v>0</v>
      </c>
      <c r="GM105" s="36">
        <f t="shared" si="48"/>
        <v>0</v>
      </c>
      <c r="GN105" s="36">
        <f t="shared" si="49"/>
        <v>0</v>
      </c>
      <c r="GO105" s="36">
        <f t="shared" si="50"/>
        <v>0</v>
      </c>
      <c r="GP105" s="149">
        <f t="shared" si="51"/>
        <v>0</v>
      </c>
      <c r="GQ105" s="36">
        <f t="shared" si="52"/>
        <v>0</v>
      </c>
      <c r="GR105" s="138">
        <f t="shared" si="53"/>
        <v>13</v>
      </c>
      <c r="GS105" s="36">
        <f t="shared" si="54"/>
        <v>999</v>
      </c>
      <c r="GT105" s="36" t="str">
        <f t="shared" si="55"/>
        <v/>
      </c>
      <c r="GU105" s="36">
        <f t="shared" si="56"/>
        <v>0</v>
      </c>
      <c r="GV105" s="36">
        <f t="shared" si="57"/>
        <v>0</v>
      </c>
      <c r="GW105" s="36">
        <f t="shared" si="58"/>
        <v>0</v>
      </c>
      <c r="GX105" s="36">
        <f t="shared" si="59"/>
        <v>0</v>
      </c>
      <c r="GY105" s="36">
        <f t="shared" si="60"/>
        <v>0</v>
      </c>
      <c r="GZ105" s="36">
        <f t="shared" si="61"/>
        <v>0</v>
      </c>
      <c r="HA105" s="488">
        <f t="shared" si="62"/>
        <v>10000000000</v>
      </c>
      <c r="HB105" s="288"/>
      <c r="HC105" s="36">
        <f t="shared" si="63"/>
        <v>11</v>
      </c>
      <c r="HE105">
        <f t="shared" si="64"/>
        <v>10000000000</v>
      </c>
      <c r="HF105" s="36">
        <f t="shared" si="65"/>
        <v>11</v>
      </c>
      <c r="HG105" s="36">
        <f t="shared" si="66"/>
        <v>1</v>
      </c>
      <c r="HH105" s="36" t="str">
        <f t="shared" si="67"/>
        <v/>
      </c>
      <c r="HI105" s="36">
        <f t="shared" si="73"/>
        <v>13</v>
      </c>
      <c r="HJ105" s="36"/>
      <c r="HK105" s="36"/>
      <c r="HL105" s="36"/>
      <c r="HM105">
        <f t="shared" si="74"/>
        <v>20000</v>
      </c>
      <c r="HN105">
        <f t="shared" si="68"/>
        <v>20000</v>
      </c>
      <c r="HO105" s="36">
        <f t="shared" si="69"/>
        <v>5</v>
      </c>
      <c r="HP105" s="36" t="str">
        <f t="shared" si="75"/>
        <v/>
      </c>
      <c r="HQ105" s="36" t="str">
        <f t="shared" si="76"/>
        <v/>
      </c>
      <c r="HU105" s="36"/>
    </row>
    <row r="106" spans="51:235" hidden="1" x14ac:dyDescent="0.25">
      <c r="AY106" s="36">
        <f t="shared" si="72"/>
        <v>14</v>
      </c>
      <c r="AZ106" s="36">
        <f t="shared" si="44"/>
        <v>999</v>
      </c>
      <c r="BB106" s="36">
        <f t="shared" si="31"/>
        <v>31</v>
      </c>
      <c r="BC106" s="36" t="str">
        <f>'Tabulka kvalifikace'!D37</f>
        <v/>
      </c>
      <c r="BD106" s="36">
        <f>'Tabulka kvalifikace'!AD37</f>
        <v>0</v>
      </c>
      <c r="BF106" s="1">
        <f t="shared" si="26"/>
        <v>999</v>
      </c>
      <c r="BH106" s="1">
        <f t="shared" si="27"/>
        <v>999</v>
      </c>
      <c r="BK106" s="1" t="str">
        <f t="shared" si="28"/>
        <v/>
      </c>
      <c r="BL106" s="1" t="str">
        <f t="shared" si="29"/>
        <v/>
      </c>
      <c r="DM106" s="36">
        <f t="shared" si="42"/>
        <v>46</v>
      </c>
      <c r="DN106" s="36">
        <f>'Tabulka kvalifikace'!D53</f>
        <v>0</v>
      </c>
      <c r="DV106" s="36"/>
      <c r="ED106" s="36">
        <f>'Tabulka kvalifikace'!AD53</f>
        <v>0</v>
      </c>
      <c r="EF106" s="36">
        <f t="shared" si="21"/>
        <v>99</v>
      </c>
      <c r="EH106" s="36">
        <f t="shared" si="22"/>
        <v>99</v>
      </c>
      <c r="EJ106" s="36" t="str">
        <f t="shared" si="23"/>
        <v/>
      </c>
      <c r="EK106" s="36" t="str">
        <f t="shared" si="24"/>
        <v/>
      </c>
      <c r="GA106" s="36" t="str">
        <f>'Tabulka kvalifikace'!DJ94</f>
        <v/>
      </c>
      <c r="GB106" s="36">
        <f>'Tabulka kvalifikace'!DL94</f>
        <v>0</v>
      </c>
      <c r="GC106" s="36">
        <f>'Tabulka kvalifikace'!DM94</f>
        <v>0</v>
      </c>
      <c r="GD106" s="36">
        <f>'Tabulka kvalifikace'!DS94</f>
        <v>0</v>
      </c>
      <c r="GE106" s="36">
        <f>'Tabulka kvalifikace'!DT94</f>
        <v>0</v>
      </c>
      <c r="GF106" s="36">
        <f>'Tabulka kvalifikace'!DU94</f>
        <v>0</v>
      </c>
      <c r="GG106" s="36">
        <f>IF(GA106="",0,('Tabulka kvalifikace'!DV94))</f>
        <v>0</v>
      </c>
      <c r="GH106" s="36">
        <f>'Tabulka kvalifikace'!DW94</f>
        <v>0</v>
      </c>
      <c r="GI106" s="149" t="str">
        <f>'Tabulka kvalifikace'!DR94</f>
        <v/>
      </c>
      <c r="GJ106" s="136">
        <f t="shared" si="45"/>
        <v>0</v>
      </c>
      <c r="GK106" s="138">
        <f t="shared" si="46"/>
        <v>0</v>
      </c>
      <c r="GL106" s="36">
        <f t="shared" si="47"/>
        <v>0</v>
      </c>
      <c r="GM106" s="36">
        <f t="shared" si="48"/>
        <v>0</v>
      </c>
      <c r="GN106" s="36">
        <f t="shared" si="49"/>
        <v>0</v>
      </c>
      <c r="GO106" s="36">
        <f t="shared" si="50"/>
        <v>0</v>
      </c>
      <c r="GP106" s="149">
        <f t="shared" si="51"/>
        <v>0</v>
      </c>
      <c r="GQ106" s="36">
        <f t="shared" si="52"/>
        <v>0</v>
      </c>
      <c r="GR106" s="138">
        <f t="shared" si="53"/>
        <v>14</v>
      </c>
      <c r="GS106" s="36">
        <f t="shared" si="54"/>
        <v>999</v>
      </c>
      <c r="GT106" s="36" t="str">
        <f t="shared" si="55"/>
        <v/>
      </c>
      <c r="GU106" s="36">
        <f t="shared" si="56"/>
        <v>0</v>
      </c>
      <c r="GV106" s="36">
        <f t="shared" si="57"/>
        <v>0</v>
      </c>
      <c r="GW106" s="36">
        <f t="shared" si="58"/>
        <v>0</v>
      </c>
      <c r="GX106" s="36">
        <f t="shared" si="59"/>
        <v>0</v>
      </c>
      <c r="GY106" s="36">
        <f t="shared" si="60"/>
        <v>0</v>
      </c>
      <c r="GZ106" s="36">
        <f t="shared" si="61"/>
        <v>0</v>
      </c>
      <c r="HA106" s="488">
        <f t="shared" si="62"/>
        <v>10000000000</v>
      </c>
      <c r="HB106" s="288"/>
      <c r="HC106" s="36">
        <f t="shared" si="63"/>
        <v>11</v>
      </c>
      <c r="HE106">
        <f t="shared" si="64"/>
        <v>10000000000</v>
      </c>
      <c r="HF106" s="36">
        <f t="shared" si="65"/>
        <v>11</v>
      </c>
      <c r="HG106" s="36">
        <f t="shared" si="66"/>
        <v>1</v>
      </c>
      <c r="HH106" s="36" t="str">
        <f t="shared" si="67"/>
        <v/>
      </c>
      <c r="HI106" s="36">
        <f t="shared" si="73"/>
        <v>14</v>
      </c>
      <c r="HJ106" s="36"/>
      <c r="HK106" s="36"/>
      <c r="HL106" s="36"/>
      <c r="HM106">
        <f t="shared" si="74"/>
        <v>20000</v>
      </c>
      <c r="HN106">
        <f t="shared" si="68"/>
        <v>20000</v>
      </c>
      <c r="HO106" s="36">
        <f t="shared" si="69"/>
        <v>5</v>
      </c>
      <c r="HP106" s="36" t="str">
        <f t="shared" si="75"/>
        <v/>
      </c>
      <c r="HQ106" s="36" t="str">
        <f t="shared" si="76"/>
        <v/>
      </c>
      <c r="HU106" s="36"/>
    </row>
    <row r="107" spans="51:235" hidden="1" x14ac:dyDescent="0.25">
      <c r="AY107" s="36">
        <f t="shared" si="72"/>
        <v>15</v>
      </c>
      <c r="AZ107" s="36">
        <f t="shared" si="44"/>
        <v>999</v>
      </c>
      <c r="BB107" s="36">
        <f t="shared" si="31"/>
        <v>32</v>
      </c>
      <c r="BC107" s="36">
        <f>'Tabulka kvalifikace'!D38</f>
        <v>0</v>
      </c>
      <c r="BD107" s="36">
        <f>'Tabulka kvalifikace'!AD38</f>
        <v>0</v>
      </c>
      <c r="BF107" s="1">
        <f t="shared" si="26"/>
        <v>999</v>
      </c>
      <c r="BH107" s="1">
        <f t="shared" si="27"/>
        <v>999</v>
      </c>
      <c r="BK107" s="1" t="str">
        <f t="shared" si="28"/>
        <v/>
      </c>
      <c r="BL107" s="1" t="str">
        <f t="shared" si="29"/>
        <v/>
      </c>
      <c r="DM107" s="36">
        <f t="shared" si="42"/>
        <v>47</v>
      </c>
      <c r="DN107" s="36" t="str">
        <f>'Tabulka kvalifikace'!D54</f>
        <v/>
      </c>
      <c r="DV107" s="36"/>
      <c r="ED107" s="36">
        <f>'Tabulka kvalifikace'!AD54</f>
        <v>0</v>
      </c>
      <c r="EF107" s="36">
        <f t="shared" si="21"/>
        <v>99</v>
      </c>
      <c r="EH107" s="36">
        <f t="shared" si="22"/>
        <v>99</v>
      </c>
      <c r="EJ107" s="36" t="str">
        <f t="shared" si="23"/>
        <v/>
      </c>
      <c r="EK107" s="36" t="str">
        <f t="shared" si="24"/>
        <v/>
      </c>
      <c r="GA107" s="36" t="str">
        <f>'Tabulka kvalifikace'!DJ95</f>
        <v/>
      </c>
      <c r="GB107" s="36">
        <f>'Tabulka kvalifikace'!DL95</f>
        <v>0</v>
      </c>
      <c r="GC107" s="36">
        <f>'Tabulka kvalifikace'!DM95</f>
        <v>0</v>
      </c>
      <c r="GD107" s="36">
        <f>'Tabulka kvalifikace'!DS95</f>
        <v>0</v>
      </c>
      <c r="GE107" s="36">
        <f>'Tabulka kvalifikace'!DT95</f>
        <v>0</v>
      </c>
      <c r="GF107" s="36">
        <f>'Tabulka kvalifikace'!DU95</f>
        <v>0</v>
      </c>
      <c r="GG107" s="36">
        <f>IF(GA107="",0,('Tabulka kvalifikace'!DV95))</f>
        <v>0</v>
      </c>
      <c r="GH107" s="36">
        <f>'Tabulka kvalifikace'!DW95</f>
        <v>0</v>
      </c>
      <c r="GI107" s="149" t="str">
        <f>'Tabulka kvalifikace'!DR95</f>
        <v/>
      </c>
      <c r="GJ107" s="136">
        <f t="shared" si="45"/>
        <v>0</v>
      </c>
      <c r="GK107" s="138">
        <f t="shared" si="46"/>
        <v>0</v>
      </c>
      <c r="GL107" s="36">
        <f t="shared" si="47"/>
        <v>0</v>
      </c>
      <c r="GM107" s="36">
        <f t="shared" si="48"/>
        <v>0</v>
      </c>
      <c r="GN107" s="36">
        <f t="shared" si="49"/>
        <v>0</v>
      </c>
      <c r="GO107" s="36">
        <f t="shared" si="50"/>
        <v>0</v>
      </c>
      <c r="GP107" s="149">
        <f t="shared" si="51"/>
        <v>0</v>
      </c>
      <c r="GQ107" s="36">
        <f t="shared" si="52"/>
        <v>0</v>
      </c>
      <c r="GR107" s="138">
        <f t="shared" si="53"/>
        <v>15</v>
      </c>
      <c r="GS107" s="36">
        <f t="shared" si="54"/>
        <v>999</v>
      </c>
      <c r="GT107" s="36" t="str">
        <f t="shared" si="55"/>
        <v/>
      </c>
      <c r="GU107" s="36">
        <f t="shared" si="56"/>
        <v>0</v>
      </c>
      <c r="GV107" s="36">
        <f t="shared" si="57"/>
        <v>0</v>
      </c>
      <c r="GW107" s="36">
        <f t="shared" si="58"/>
        <v>0</v>
      </c>
      <c r="GX107" s="36">
        <f t="shared" si="59"/>
        <v>0</v>
      </c>
      <c r="GY107" s="36">
        <f t="shared" si="60"/>
        <v>0</v>
      </c>
      <c r="GZ107" s="36">
        <f t="shared" si="61"/>
        <v>0</v>
      </c>
      <c r="HA107" s="488">
        <f t="shared" si="62"/>
        <v>10000000000</v>
      </c>
      <c r="HB107" s="288"/>
      <c r="HC107" s="36">
        <f t="shared" si="63"/>
        <v>11</v>
      </c>
      <c r="HE107">
        <f t="shared" si="64"/>
        <v>10000000000</v>
      </c>
      <c r="HF107" s="36">
        <f t="shared" si="65"/>
        <v>11</v>
      </c>
      <c r="HG107" s="36">
        <f t="shared" si="66"/>
        <v>1</v>
      </c>
      <c r="HH107" s="36" t="str">
        <f t="shared" si="67"/>
        <v/>
      </c>
      <c r="HI107" s="36">
        <f t="shared" si="73"/>
        <v>15</v>
      </c>
      <c r="HJ107" s="36"/>
      <c r="HK107" s="36"/>
      <c r="HL107" s="36"/>
      <c r="HM107">
        <f t="shared" si="74"/>
        <v>20000</v>
      </c>
      <c r="HN107">
        <f t="shared" si="68"/>
        <v>20000</v>
      </c>
      <c r="HO107" s="36">
        <f t="shared" si="69"/>
        <v>5</v>
      </c>
      <c r="HP107" s="36" t="str">
        <f t="shared" si="75"/>
        <v/>
      </c>
      <c r="HQ107" s="36" t="str">
        <f t="shared" si="76"/>
        <v/>
      </c>
      <c r="HU107" s="36"/>
    </row>
    <row r="108" spans="51:235" hidden="1" x14ac:dyDescent="0.25">
      <c r="AY108" s="36">
        <f t="shared" si="72"/>
        <v>16</v>
      </c>
      <c r="AZ108" s="36">
        <f t="shared" si="44"/>
        <v>999</v>
      </c>
      <c r="BB108" s="36">
        <f t="shared" si="31"/>
        <v>33</v>
      </c>
      <c r="BC108" s="36">
        <f>'Tabulka kvalifikace'!D40</f>
        <v>4</v>
      </c>
      <c r="BD108" s="36">
        <f>'Tabulka kvalifikace'!AD40</f>
        <v>0</v>
      </c>
      <c r="BF108" s="1">
        <f t="shared" si="26"/>
        <v>33</v>
      </c>
      <c r="BH108" s="1">
        <f t="shared" si="27"/>
        <v>999</v>
      </c>
      <c r="BK108" s="1" t="str">
        <f t="shared" si="28"/>
        <v/>
      </c>
      <c r="BL108" s="1" t="str">
        <f t="shared" si="29"/>
        <v/>
      </c>
      <c r="DM108" s="36">
        <f t="shared" si="42"/>
        <v>48</v>
      </c>
      <c r="DN108" s="36">
        <f>'Tabulka kvalifikace'!D55</f>
        <v>0</v>
      </c>
      <c r="DV108" s="36"/>
      <c r="ED108" s="36">
        <f>'Tabulka kvalifikace'!AD55</f>
        <v>0</v>
      </c>
      <c r="EF108" s="36">
        <f t="shared" si="21"/>
        <v>99</v>
      </c>
      <c r="EH108" s="36">
        <f t="shared" si="22"/>
        <v>99</v>
      </c>
      <c r="EJ108" s="36" t="str">
        <f t="shared" si="23"/>
        <v/>
      </c>
      <c r="EK108" s="36" t="str">
        <f t="shared" si="24"/>
        <v/>
      </c>
      <c r="GA108" s="36" t="str">
        <f>'Tabulka kvalifikace'!DJ96</f>
        <v/>
      </c>
      <c r="GB108" s="36">
        <f>'Tabulka kvalifikace'!DL96</f>
        <v>0</v>
      </c>
      <c r="GC108" s="36">
        <f>'Tabulka kvalifikace'!DM96</f>
        <v>0</v>
      </c>
      <c r="GD108" s="36">
        <f>'Tabulka kvalifikace'!DS96</f>
        <v>0</v>
      </c>
      <c r="GE108" s="36">
        <f>'Tabulka kvalifikace'!DT96</f>
        <v>0</v>
      </c>
      <c r="GF108" s="36">
        <f>'Tabulka kvalifikace'!DU96</f>
        <v>0</v>
      </c>
      <c r="GG108" s="36">
        <f>IF(GA108="",0,('Tabulka kvalifikace'!DV96))</f>
        <v>0</v>
      </c>
      <c r="GH108" s="36">
        <f>'Tabulka kvalifikace'!DW96</f>
        <v>0</v>
      </c>
      <c r="GI108" s="149" t="str">
        <f>'Tabulka kvalifikace'!DR96</f>
        <v/>
      </c>
      <c r="GJ108" s="136">
        <f t="shared" si="45"/>
        <v>0</v>
      </c>
      <c r="GK108" s="138">
        <f t="shared" si="46"/>
        <v>0</v>
      </c>
      <c r="GL108" s="36">
        <f t="shared" si="47"/>
        <v>0</v>
      </c>
      <c r="GM108" s="36">
        <f t="shared" si="48"/>
        <v>0</v>
      </c>
      <c r="GN108" s="36">
        <f t="shared" si="49"/>
        <v>0</v>
      </c>
      <c r="GO108" s="36">
        <f t="shared" si="50"/>
        <v>0</v>
      </c>
      <c r="GP108" s="149">
        <f t="shared" si="51"/>
        <v>0</v>
      </c>
      <c r="GQ108" s="36">
        <f t="shared" si="52"/>
        <v>0</v>
      </c>
      <c r="GR108" s="138">
        <f t="shared" si="53"/>
        <v>16</v>
      </c>
      <c r="GS108" s="36">
        <f t="shared" si="54"/>
        <v>999</v>
      </c>
      <c r="GT108" s="36" t="str">
        <f t="shared" si="55"/>
        <v/>
      </c>
      <c r="GU108" s="36">
        <f t="shared" si="56"/>
        <v>0</v>
      </c>
      <c r="GV108" s="36">
        <f t="shared" si="57"/>
        <v>0</v>
      </c>
      <c r="GW108" s="36">
        <f t="shared" si="58"/>
        <v>0</v>
      </c>
      <c r="GX108" s="36">
        <f t="shared" si="59"/>
        <v>0</v>
      </c>
      <c r="GY108" s="36">
        <f t="shared" si="60"/>
        <v>0</v>
      </c>
      <c r="GZ108" s="36">
        <f t="shared" si="61"/>
        <v>0</v>
      </c>
      <c r="HA108" s="488">
        <f t="shared" si="62"/>
        <v>10000000000</v>
      </c>
      <c r="HB108" s="288"/>
      <c r="HC108" s="36">
        <f t="shared" si="63"/>
        <v>11</v>
      </c>
      <c r="HE108">
        <f t="shared" si="64"/>
        <v>10000000000</v>
      </c>
      <c r="HF108" s="36">
        <f t="shared" si="65"/>
        <v>11</v>
      </c>
      <c r="HG108" s="36">
        <f t="shared" si="66"/>
        <v>1</v>
      </c>
      <c r="HH108" s="36" t="str">
        <f t="shared" si="67"/>
        <v/>
      </c>
      <c r="HI108" s="36">
        <f t="shared" si="73"/>
        <v>16</v>
      </c>
      <c r="HJ108" s="36"/>
      <c r="HK108" s="36"/>
      <c r="HL108" s="36"/>
      <c r="HM108">
        <f t="shared" si="74"/>
        <v>20000</v>
      </c>
      <c r="HN108">
        <f t="shared" si="68"/>
        <v>20000</v>
      </c>
      <c r="HO108" s="36">
        <f t="shared" si="69"/>
        <v>5</v>
      </c>
      <c r="HP108" s="36" t="str">
        <f t="shared" si="75"/>
        <v/>
      </c>
      <c r="HQ108" s="36" t="str">
        <f t="shared" si="76"/>
        <v/>
      </c>
      <c r="HU108" s="36"/>
    </row>
    <row r="109" spans="51:235" hidden="1" x14ac:dyDescent="0.25">
      <c r="AY109" s="36">
        <f t="shared" si="72"/>
        <v>17</v>
      </c>
      <c r="AZ109" s="36">
        <f t="shared" si="44"/>
        <v>4</v>
      </c>
      <c r="BB109" s="36">
        <f t="shared" si="31"/>
        <v>34</v>
      </c>
      <c r="BC109" s="36">
        <f>'Tabulka kvalifikace'!D41</f>
        <v>0</v>
      </c>
      <c r="BD109" s="36">
        <f>'Tabulka kvalifikace'!AD41</f>
        <v>0</v>
      </c>
      <c r="BF109" s="1">
        <f t="shared" si="26"/>
        <v>999</v>
      </c>
      <c r="BH109" s="1">
        <f t="shared" si="27"/>
        <v>999</v>
      </c>
      <c r="BK109" s="1" t="str">
        <f t="shared" si="28"/>
        <v/>
      </c>
      <c r="BL109" s="1" t="str">
        <f t="shared" si="29"/>
        <v/>
      </c>
      <c r="DM109" s="36">
        <f t="shared" si="42"/>
        <v>49</v>
      </c>
      <c r="DN109" s="36" t="str">
        <f>'Tabulka kvalifikace'!D56</f>
        <v/>
      </c>
      <c r="DV109" s="36"/>
      <c r="ED109" s="36">
        <f>'Tabulka kvalifikace'!AD56</f>
        <v>0</v>
      </c>
      <c r="EF109" s="36">
        <f t="shared" si="21"/>
        <v>99</v>
      </c>
      <c r="EH109" s="36">
        <f t="shared" si="22"/>
        <v>99</v>
      </c>
      <c r="EJ109" s="36" t="str">
        <f t="shared" si="23"/>
        <v/>
      </c>
      <c r="EK109" s="36" t="str">
        <f t="shared" si="24"/>
        <v/>
      </c>
      <c r="GA109" s="36">
        <f>'Tabulka kvalifikace'!DJ97</f>
        <v>4</v>
      </c>
      <c r="GB109" s="36">
        <f>'Tabulka kvalifikace'!DL97</f>
        <v>0</v>
      </c>
      <c r="GC109" s="36">
        <f>'Tabulka kvalifikace'!DM97</f>
        <v>4</v>
      </c>
      <c r="GD109" s="36">
        <f>'Tabulka kvalifikace'!DS97</f>
        <v>0</v>
      </c>
      <c r="GE109" s="36">
        <f>'Tabulka kvalifikace'!DT97</f>
        <v>0</v>
      </c>
      <c r="GF109" s="36">
        <f>'Tabulka kvalifikace'!DU97</f>
        <v>0</v>
      </c>
      <c r="GG109" s="36">
        <f>IF(GA109="",0,('Tabulka kvalifikace'!DV97))</f>
        <v>5</v>
      </c>
      <c r="GH109" s="36">
        <f>'Tabulka kvalifikace'!DW97</f>
        <v>1</v>
      </c>
      <c r="GI109" s="149" t="str">
        <f>'Tabulka kvalifikace'!DR97</f>
        <v>F</v>
      </c>
      <c r="GJ109" s="136">
        <f t="shared" si="45"/>
        <v>10000000000</v>
      </c>
      <c r="GK109" s="138">
        <f t="shared" si="46"/>
        <v>0</v>
      </c>
      <c r="GL109" s="36">
        <f t="shared" si="47"/>
        <v>0</v>
      </c>
      <c r="GM109" s="36">
        <f t="shared" si="48"/>
        <v>0</v>
      </c>
      <c r="GN109" s="36">
        <f t="shared" si="49"/>
        <v>0</v>
      </c>
      <c r="GO109" s="36">
        <f t="shared" si="50"/>
        <v>0</v>
      </c>
      <c r="GP109" s="149">
        <f t="shared" si="51"/>
        <v>0</v>
      </c>
      <c r="GQ109" s="36">
        <f t="shared" si="52"/>
        <v>10000000000</v>
      </c>
      <c r="GR109" s="138">
        <f t="shared" si="53"/>
        <v>17</v>
      </c>
      <c r="GS109" s="36">
        <f t="shared" si="54"/>
        <v>4</v>
      </c>
      <c r="GT109" s="36">
        <f t="shared" si="55"/>
        <v>4</v>
      </c>
      <c r="GU109" s="36">
        <f t="shared" si="56"/>
        <v>0</v>
      </c>
      <c r="GV109" s="36">
        <f t="shared" si="57"/>
        <v>4</v>
      </c>
      <c r="GW109" s="36">
        <f t="shared" si="58"/>
        <v>0</v>
      </c>
      <c r="GX109" s="36">
        <f t="shared" si="59"/>
        <v>0</v>
      </c>
      <c r="GY109" s="36">
        <f t="shared" si="60"/>
        <v>0</v>
      </c>
      <c r="GZ109" s="36">
        <f t="shared" si="61"/>
        <v>1</v>
      </c>
      <c r="HA109" s="488">
        <f t="shared" si="62"/>
        <v>50050400004</v>
      </c>
      <c r="HB109" s="288"/>
      <c r="HC109" s="36">
        <f t="shared" si="63"/>
        <v>11</v>
      </c>
      <c r="HE109">
        <f t="shared" si="64"/>
        <v>10000000000</v>
      </c>
      <c r="HF109" s="36">
        <f t="shared" si="65"/>
        <v>11</v>
      </c>
      <c r="HG109" s="36">
        <f t="shared" si="66"/>
        <v>1</v>
      </c>
      <c r="HH109" s="36" t="str">
        <f t="shared" si="67"/>
        <v/>
      </c>
      <c r="HI109" s="36">
        <f t="shared" si="73"/>
        <v>17</v>
      </c>
      <c r="HJ109" s="36"/>
      <c r="HK109" s="36"/>
      <c r="HL109" s="36"/>
      <c r="HM109">
        <f t="shared" si="74"/>
        <v>20000</v>
      </c>
      <c r="HN109">
        <f t="shared" si="68"/>
        <v>20000</v>
      </c>
      <c r="HO109" s="36">
        <f t="shared" si="69"/>
        <v>5</v>
      </c>
      <c r="HP109" s="36" t="str">
        <f t="shared" si="75"/>
        <v/>
      </c>
      <c r="HQ109" s="36" t="str">
        <f t="shared" si="76"/>
        <v/>
      </c>
      <c r="HU109" s="36"/>
    </row>
    <row r="110" spans="51:235" hidden="1" x14ac:dyDescent="0.25">
      <c r="AY110" s="36">
        <f t="shared" si="72"/>
        <v>18</v>
      </c>
      <c r="AZ110" s="36">
        <f t="shared" si="44"/>
        <v>5</v>
      </c>
      <c r="BB110" s="36">
        <f t="shared" si="31"/>
        <v>35</v>
      </c>
      <c r="BC110" s="36">
        <f>'Tabulka kvalifikace'!D42</f>
        <v>5</v>
      </c>
      <c r="BD110" s="36">
        <f>'Tabulka kvalifikace'!AD42</f>
        <v>0</v>
      </c>
      <c r="BF110" s="1">
        <f t="shared" si="26"/>
        <v>35</v>
      </c>
      <c r="BH110" s="1">
        <f t="shared" si="27"/>
        <v>999</v>
      </c>
      <c r="BK110" s="1" t="str">
        <f t="shared" si="28"/>
        <v/>
      </c>
      <c r="BL110" s="1" t="str">
        <f t="shared" si="29"/>
        <v/>
      </c>
      <c r="DM110" s="36">
        <f t="shared" si="42"/>
        <v>50</v>
      </c>
      <c r="DN110" s="36">
        <f>'Tabulka kvalifikace'!D57</f>
        <v>0</v>
      </c>
      <c r="DV110" s="36"/>
      <c r="ED110" s="36">
        <f>'Tabulka kvalifikace'!AD57</f>
        <v>0</v>
      </c>
      <c r="EF110" s="36">
        <f t="shared" si="21"/>
        <v>99</v>
      </c>
      <c r="EH110" s="36">
        <f t="shared" si="22"/>
        <v>99</v>
      </c>
      <c r="EJ110" s="36" t="str">
        <f t="shared" si="23"/>
        <v/>
      </c>
      <c r="EK110" s="36" t="str">
        <f t="shared" si="24"/>
        <v/>
      </c>
      <c r="GA110" s="36">
        <f>'Tabulka kvalifikace'!DJ98</f>
        <v>5</v>
      </c>
      <c r="GB110" s="36">
        <f>'Tabulka kvalifikace'!DL98</f>
        <v>5</v>
      </c>
      <c r="GC110" s="36">
        <f>'Tabulka kvalifikace'!DM98</f>
        <v>8</v>
      </c>
      <c r="GD110" s="36">
        <f>'Tabulka kvalifikace'!DS98</f>
        <v>1</v>
      </c>
      <c r="GE110" s="36">
        <f>'Tabulka kvalifikace'!DT98</f>
        <v>0</v>
      </c>
      <c r="GF110" s="36">
        <f>'Tabulka kvalifikace'!DU98</f>
        <v>0</v>
      </c>
      <c r="GG110" s="36">
        <f>IF(GA110="",0,('Tabulka kvalifikace'!DV98))</f>
        <v>6</v>
      </c>
      <c r="GH110" s="36">
        <f>'Tabulka kvalifikace'!DW98</f>
        <v>0</v>
      </c>
      <c r="GI110" s="149" t="str">
        <f>'Tabulka kvalifikace'!DR98</f>
        <v>F</v>
      </c>
      <c r="GJ110" s="136">
        <f t="shared" si="45"/>
        <v>10000000000</v>
      </c>
      <c r="GK110" s="138">
        <f t="shared" si="46"/>
        <v>0</v>
      </c>
      <c r="GL110" s="36">
        <f t="shared" si="47"/>
        <v>0</v>
      </c>
      <c r="GM110" s="36">
        <f t="shared" si="48"/>
        <v>0</v>
      </c>
      <c r="GN110" s="36">
        <f t="shared" si="49"/>
        <v>0</v>
      </c>
      <c r="GO110" s="36">
        <f t="shared" si="50"/>
        <v>0</v>
      </c>
      <c r="GP110" s="149">
        <f t="shared" si="51"/>
        <v>0</v>
      </c>
      <c r="GQ110" s="36">
        <f t="shared" si="52"/>
        <v>20000000000</v>
      </c>
      <c r="GR110" s="138">
        <f t="shared" si="53"/>
        <v>18</v>
      </c>
      <c r="GS110" s="36">
        <f t="shared" si="54"/>
        <v>5</v>
      </c>
      <c r="GT110" s="36">
        <f t="shared" si="55"/>
        <v>5</v>
      </c>
      <c r="GU110" s="36">
        <f t="shared" si="56"/>
        <v>5</v>
      </c>
      <c r="GV110" s="36">
        <f t="shared" si="57"/>
        <v>8</v>
      </c>
      <c r="GW110" s="36">
        <f t="shared" si="58"/>
        <v>1</v>
      </c>
      <c r="GX110" s="36">
        <f t="shared" si="59"/>
        <v>0</v>
      </c>
      <c r="GY110" s="36">
        <f t="shared" si="60"/>
        <v>0</v>
      </c>
      <c r="GZ110" s="36">
        <f t="shared" si="61"/>
        <v>0</v>
      </c>
      <c r="HA110" s="488">
        <f t="shared" si="62"/>
        <v>60560810005</v>
      </c>
      <c r="HB110" s="288"/>
      <c r="HC110" s="36">
        <f t="shared" si="63"/>
        <v>11</v>
      </c>
      <c r="HE110">
        <f t="shared" si="64"/>
        <v>10000000000</v>
      </c>
      <c r="HF110" s="36">
        <f t="shared" si="65"/>
        <v>11</v>
      </c>
      <c r="HG110" s="36">
        <f t="shared" si="66"/>
        <v>1</v>
      </c>
      <c r="HH110" s="36" t="str">
        <f t="shared" si="67"/>
        <v/>
      </c>
      <c r="HI110" s="36">
        <f t="shared" si="73"/>
        <v>18</v>
      </c>
      <c r="HJ110" s="36"/>
      <c r="HK110" s="36"/>
      <c r="HL110" s="36"/>
      <c r="HM110">
        <f t="shared" si="74"/>
        <v>20000</v>
      </c>
      <c r="HN110">
        <f t="shared" si="68"/>
        <v>20000</v>
      </c>
      <c r="HO110" s="36">
        <f t="shared" si="69"/>
        <v>5</v>
      </c>
      <c r="HP110" s="36" t="str">
        <f t="shared" si="75"/>
        <v/>
      </c>
      <c r="HQ110" s="36" t="str">
        <f t="shared" si="76"/>
        <v/>
      </c>
      <c r="HU110" s="36"/>
    </row>
    <row r="111" spans="51:235" hidden="1" x14ac:dyDescent="0.25">
      <c r="AY111" s="36">
        <f t="shared" si="72"/>
        <v>19</v>
      </c>
      <c r="AZ111" s="36">
        <f t="shared" si="44"/>
        <v>6</v>
      </c>
      <c r="BB111" s="36">
        <f t="shared" si="31"/>
        <v>36</v>
      </c>
      <c r="BC111" s="36">
        <f>'Tabulka kvalifikace'!D43</f>
        <v>0</v>
      </c>
      <c r="BD111" s="36">
        <f>'Tabulka kvalifikace'!AD43</f>
        <v>0</v>
      </c>
      <c r="BF111" s="1">
        <f t="shared" si="26"/>
        <v>999</v>
      </c>
      <c r="BH111" s="1">
        <f t="shared" si="27"/>
        <v>999</v>
      </c>
      <c r="BK111" s="1" t="str">
        <f t="shared" si="28"/>
        <v/>
      </c>
      <c r="BL111" s="1" t="str">
        <f t="shared" si="29"/>
        <v/>
      </c>
      <c r="DM111" s="36">
        <f t="shared" si="42"/>
        <v>51</v>
      </c>
      <c r="DN111" s="36" t="str">
        <f>'Tabulka kvalifikace'!D58</f>
        <v/>
      </c>
      <c r="DV111" s="36"/>
      <c r="ED111" s="36">
        <f>'Tabulka kvalifikace'!AD58</f>
        <v>0</v>
      </c>
      <c r="EF111" s="36">
        <f t="shared" si="21"/>
        <v>99</v>
      </c>
      <c r="EH111" s="36">
        <f t="shared" si="22"/>
        <v>99</v>
      </c>
      <c r="EJ111" s="36" t="str">
        <f t="shared" si="23"/>
        <v/>
      </c>
      <c r="EK111" s="36" t="str">
        <f t="shared" si="24"/>
        <v/>
      </c>
      <c r="GA111" s="36">
        <f>'Tabulka kvalifikace'!DJ99</f>
        <v>6</v>
      </c>
      <c r="GB111" s="36">
        <f>'Tabulka kvalifikace'!DL99</f>
        <v>9</v>
      </c>
      <c r="GC111" s="36">
        <f>'Tabulka kvalifikace'!DM99</f>
        <v>24</v>
      </c>
      <c r="GD111" s="36">
        <f>'Tabulka kvalifikace'!DS99</f>
        <v>1</v>
      </c>
      <c r="GE111" s="36">
        <f>'Tabulka kvalifikace'!DT99</f>
        <v>0</v>
      </c>
      <c r="GF111" s="36">
        <f>'Tabulka kvalifikace'!DU99</f>
        <v>0</v>
      </c>
      <c r="GG111" s="36">
        <f>IF(GA111="",0,('Tabulka kvalifikace'!DV99))</f>
        <v>7</v>
      </c>
      <c r="GH111" s="36">
        <f>'Tabulka kvalifikace'!DW99</f>
        <v>0</v>
      </c>
      <c r="GI111" s="149" t="str">
        <f>'Tabulka kvalifikace'!DR99</f>
        <v>F</v>
      </c>
      <c r="GJ111" s="136">
        <f t="shared" si="45"/>
        <v>10000000000</v>
      </c>
      <c r="GK111" s="138">
        <f t="shared" si="46"/>
        <v>0</v>
      </c>
      <c r="GL111" s="36">
        <f t="shared" si="47"/>
        <v>0</v>
      </c>
      <c r="GM111" s="36">
        <f t="shared" si="48"/>
        <v>0</v>
      </c>
      <c r="GN111" s="36">
        <f t="shared" si="49"/>
        <v>0</v>
      </c>
      <c r="GO111" s="36">
        <f t="shared" si="50"/>
        <v>0</v>
      </c>
      <c r="GP111" s="149">
        <f t="shared" si="51"/>
        <v>0</v>
      </c>
      <c r="GQ111" s="36">
        <f t="shared" si="52"/>
        <v>40000000000</v>
      </c>
      <c r="GR111" s="138">
        <f t="shared" si="53"/>
        <v>19</v>
      </c>
      <c r="GS111" s="36">
        <f t="shared" si="54"/>
        <v>6</v>
      </c>
      <c r="GT111" s="36">
        <f t="shared" si="55"/>
        <v>6</v>
      </c>
      <c r="GU111" s="36">
        <f t="shared" si="56"/>
        <v>9</v>
      </c>
      <c r="GV111" s="36">
        <f t="shared" si="57"/>
        <v>24</v>
      </c>
      <c r="GW111" s="36">
        <f t="shared" si="58"/>
        <v>1</v>
      </c>
      <c r="GX111" s="36">
        <f t="shared" si="59"/>
        <v>0</v>
      </c>
      <c r="GY111" s="36">
        <f t="shared" si="60"/>
        <v>0</v>
      </c>
      <c r="GZ111" s="36">
        <f t="shared" si="61"/>
        <v>0</v>
      </c>
      <c r="HA111" s="488">
        <f t="shared" si="62"/>
        <v>80972410006</v>
      </c>
      <c r="HB111" s="288"/>
      <c r="HC111" s="36">
        <f t="shared" si="63"/>
        <v>11</v>
      </c>
      <c r="HE111">
        <f t="shared" si="64"/>
        <v>10000000000</v>
      </c>
      <c r="HF111" s="36">
        <f t="shared" si="65"/>
        <v>11</v>
      </c>
      <c r="HG111" s="36">
        <f t="shared" si="66"/>
        <v>1</v>
      </c>
      <c r="HH111" s="36" t="str">
        <f t="shared" si="67"/>
        <v/>
      </c>
      <c r="HI111" s="36">
        <f t="shared" si="73"/>
        <v>19</v>
      </c>
      <c r="HJ111" s="36"/>
      <c r="HK111" s="36"/>
      <c r="HL111" s="36"/>
      <c r="HM111">
        <f t="shared" si="74"/>
        <v>20000</v>
      </c>
      <c r="HN111">
        <f t="shared" si="68"/>
        <v>20000</v>
      </c>
      <c r="HO111" s="36">
        <f t="shared" si="69"/>
        <v>5</v>
      </c>
      <c r="HP111" s="36" t="str">
        <f t="shared" si="75"/>
        <v/>
      </c>
      <c r="HQ111" s="36" t="str">
        <f t="shared" si="76"/>
        <v/>
      </c>
      <c r="HU111" s="36"/>
    </row>
    <row r="112" spans="51:235" hidden="1" x14ac:dyDescent="0.25">
      <c r="AY112" s="36">
        <f t="shared" si="72"/>
        <v>20</v>
      </c>
      <c r="AZ112" s="36">
        <f t="shared" si="44"/>
        <v>999</v>
      </c>
      <c r="BB112" s="36">
        <f t="shared" si="31"/>
        <v>37</v>
      </c>
      <c r="BC112" s="36">
        <f>'Tabulka kvalifikace'!D44</f>
        <v>6</v>
      </c>
      <c r="BD112" s="36">
        <f>'Tabulka kvalifikace'!AD44</f>
        <v>0</v>
      </c>
      <c r="BF112" s="1">
        <f t="shared" si="26"/>
        <v>37</v>
      </c>
      <c r="BH112" s="1">
        <f t="shared" si="27"/>
        <v>999</v>
      </c>
      <c r="BK112" s="1" t="str">
        <f t="shared" si="28"/>
        <v/>
      </c>
      <c r="BL112" s="1" t="str">
        <f t="shared" si="29"/>
        <v/>
      </c>
      <c r="DM112" s="36">
        <f t="shared" si="42"/>
        <v>52</v>
      </c>
      <c r="DN112" s="36">
        <f>'Tabulka kvalifikace'!D59</f>
        <v>0</v>
      </c>
      <c r="DV112" s="36"/>
      <c r="ED112" s="36">
        <f>'Tabulka kvalifikace'!AD59</f>
        <v>0</v>
      </c>
      <c r="EF112" s="36">
        <f t="shared" si="21"/>
        <v>99</v>
      </c>
      <c r="EH112" s="36">
        <f t="shared" si="22"/>
        <v>99</v>
      </c>
      <c r="EJ112" s="36" t="str">
        <f t="shared" si="23"/>
        <v/>
      </c>
      <c r="EK112" s="36" t="str">
        <f t="shared" si="24"/>
        <v/>
      </c>
      <c r="GA112" s="36" t="str">
        <f>'Tabulka kvalifikace'!DJ100</f>
        <v/>
      </c>
      <c r="GB112" s="36">
        <f>'Tabulka kvalifikace'!DL100</f>
        <v>0</v>
      </c>
      <c r="GC112" s="36">
        <f>'Tabulka kvalifikace'!DM100</f>
        <v>0</v>
      </c>
      <c r="GD112" s="36">
        <f>'Tabulka kvalifikace'!DS100</f>
        <v>0</v>
      </c>
      <c r="GE112" s="36">
        <f>'Tabulka kvalifikace'!DT100</f>
        <v>0</v>
      </c>
      <c r="GF112" s="36">
        <f>'Tabulka kvalifikace'!DU100</f>
        <v>0</v>
      </c>
      <c r="GG112" s="36">
        <f>IF(GA112="",0,('Tabulka kvalifikace'!DV100))</f>
        <v>0</v>
      </c>
      <c r="GH112" s="36">
        <f>'Tabulka kvalifikace'!DW100</f>
        <v>0</v>
      </c>
      <c r="GI112" s="149" t="str">
        <f>'Tabulka kvalifikace'!DR100</f>
        <v/>
      </c>
      <c r="GJ112" s="136">
        <f t="shared" si="45"/>
        <v>0</v>
      </c>
      <c r="GK112" s="138">
        <f t="shared" si="46"/>
        <v>0</v>
      </c>
      <c r="GL112" s="36">
        <f t="shared" si="47"/>
        <v>0</v>
      </c>
      <c r="GM112" s="36">
        <f t="shared" si="48"/>
        <v>0</v>
      </c>
      <c r="GN112" s="36">
        <f t="shared" si="49"/>
        <v>0</v>
      </c>
      <c r="GO112" s="36">
        <f t="shared" si="50"/>
        <v>0</v>
      </c>
      <c r="GP112" s="149">
        <f t="shared" si="51"/>
        <v>0</v>
      </c>
      <c r="GQ112" s="36">
        <f t="shared" si="52"/>
        <v>0</v>
      </c>
      <c r="GR112" s="138">
        <f t="shared" si="53"/>
        <v>20</v>
      </c>
      <c r="GS112" s="36">
        <f t="shared" si="54"/>
        <v>999</v>
      </c>
      <c r="GT112" s="36" t="str">
        <f t="shared" si="55"/>
        <v/>
      </c>
      <c r="GU112" s="36">
        <f t="shared" si="56"/>
        <v>0</v>
      </c>
      <c r="GV112" s="36">
        <f t="shared" si="57"/>
        <v>0</v>
      </c>
      <c r="GW112" s="36">
        <f t="shared" si="58"/>
        <v>0</v>
      </c>
      <c r="GX112" s="36">
        <f t="shared" si="59"/>
        <v>0</v>
      </c>
      <c r="GY112" s="36">
        <f t="shared" si="60"/>
        <v>0</v>
      </c>
      <c r="GZ112" s="36">
        <f t="shared" si="61"/>
        <v>0</v>
      </c>
      <c r="HA112" s="488">
        <f t="shared" si="62"/>
        <v>10000000000</v>
      </c>
      <c r="HB112" s="288"/>
      <c r="HC112" s="36">
        <f t="shared" si="63"/>
        <v>11</v>
      </c>
      <c r="HE112">
        <f t="shared" si="64"/>
        <v>10000000000</v>
      </c>
      <c r="HF112" s="36">
        <f t="shared" si="65"/>
        <v>11</v>
      </c>
      <c r="HG112" s="36">
        <f t="shared" si="66"/>
        <v>1</v>
      </c>
      <c r="HH112" s="36" t="str">
        <f t="shared" si="67"/>
        <v/>
      </c>
      <c r="HI112" s="36">
        <f t="shared" si="73"/>
        <v>20</v>
      </c>
      <c r="HJ112" s="36"/>
      <c r="HK112" s="36"/>
      <c r="HL112" s="36"/>
      <c r="HM112">
        <f t="shared" si="74"/>
        <v>20000</v>
      </c>
      <c r="HN112">
        <f t="shared" si="68"/>
        <v>20000</v>
      </c>
      <c r="HO112" s="36">
        <f t="shared" si="69"/>
        <v>5</v>
      </c>
      <c r="HP112" s="36" t="str">
        <f t="shared" si="75"/>
        <v/>
      </c>
      <c r="HQ112" s="36" t="str">
        <f t="shared" si="76"/>
        <v/>
      </c>
      <c r="HU112" s="36"/>
    </row>
    <row r="113" spans="51:229" hidden="1" x14ac:dyDescent="0.25">
      <c r="AY113" s="36">
        <f t="shared" si="72"/>
        <v>21</v>
      </c>
      <c r="AZ113" s="36">
        <f t="shared" si="44"/>
        <v>999</v>
      </c>
      <c r="BB113" s="36">
        <f t="shared" si="31"/>
        <v>38</v>
      </c>
      <c r="BC113" s="36">
        <f>'Tabulka kvalifikace'!D45</f>
        <v>0</v>
      </c>
      <c r="BD113" s="36">
        <f>'Tabulka kvalifikace'!AD45</f>
        <v>0</v>
      </c>
      <c r="BF113" s="1">
        <f t="shared" si="26"/>
        <v>999</v>
      </c>
      <c r="BH113" s="1">
        <f t="shared" si="27"/>
        <v>999</v>
      </c>
      <c r="BK113" s="1" t="str">
        <f t="shared" si="28"/>
        <v/>
      </c>
      <c r="BL113" s="1" t="str">
        <f t="shared" si="29"/>
        <v/>
      </c>
      <c r="DM113" s="36">
        <f t="shared" si="42"/>
        <v>53</v>
      </c>
      <c r="DN113" s="36" t="str">
        <f>'Tabulka kvalifikace'!D60</f>
        <v/>
      </c>
      <c r="DV113" s="36"/>
      <c r="ED113" s="36">
        <f>'Tabulka kvalifikace'!AD60</f>
        <v>0</v>
      </c>
      <c r="EF113" s="36">
        <f t="shared" si="21"/>
        <v>99</v>
      </c>
      <c r="EH113" s="36">
        <f t="shared" si="22"/>
        <v>99</v>
      </c>
      <c r="EJ113" s="36" t="str">
        <f t="shared" si="23"/>
        <v/>
      </c>
      <c r="EK113" s="36" t="str">
        <f t="shared" si="24"/>
        <v/>
      </c>
      <c r="GA113" s="36" t="str">
        <f>'Tabulka kvalifikace'!DJ101</f>
        <v/>
      </c>
      <c r="GB113" s="36">
        <f>'Tabulka kvalifikace'!DL101</f>
        <v>0</v>
      </c>
      <c r="GC113" s="36">
        <f>'Tabulka kvalifikace'!DM101</f>
        <v>0</v>
      </c>
      <c r="GD113" s="36">
        <f>'Tabulka kvalifikace'!DS101</f>
        <v>0</v>
      </c>
      <c r="GE113" s="36">
        <f>'Tabulka kvalifikace'!DT101</f>
        <v>0</v>
      </c>
      <c r="GF113" s="36">
        <f>'Tabulka kvalifikace'!DU101</f>
        <v>0</v>
      </c>
      <c r="GG113" s="36">
        <f>IF(GA113="",0,('Tabulka kvalifikace'!DV101))</f>
        <v>0</v>
      </c>
      <c r="GH113" s="36">
        <f>'Tabulka kvalifikace'!DW101</f>
        <v>0</v>
      </c>
      <c r="GI113" s="149" t="str">
        <f>'Tabulka kvalifikace'!DR101</f>
        <v/>
      </c>
      <c r="GJ113" s="136">
        <f t="shared" si="45"/>
        <v>0</v>
      </c>
      <c r="GK113" s="138">
        <f t="shared" si="46"/>
        <v>0</v>
      </c>
      <c r="GL113" s="36">
        <f t="shared" si="47"/>
        <v>0</v>
      </c>
      <c r="GM113" s="36">
        <f t="shared" si="48"/>
        <v>0</v>
      </c>
      <c r="GN113" s="36">
        <f t="shared" si="49"/>
        <v>0</v>
      </c>
      <c r="GO113" s="36">
        <f t="shared" si="50"/>
        <v>0</v>
      </c>
      <c r="GP113" s="149">
        <f t="shared" si="51"/>
        <v>0</v>
      </c>
      <c r="GQ113" s="36">
        <f t="shared" si="52"/>
        <v>0</v>
      </c>
      <c r="GR113" s="138">
        <f t="shared" si="53"/>
        <v>21</v>
      </c>
      <c r="GS113" s="36">
        <f t="shared" si="54"/>
        <v>999</v>
      </c>
      <c r="GT113" s="36" t="str">
        <f t="shared" si="55"/>
        <v/>
      </c>
      <c r="GU113" s="36">
        <f t="shared" si="56"/>
        <v>0</v>
      </c>
      <c r="GV113" s="36">
        <f t="shared" si="57"/>
        <v>0</v>
      </c>
      <c r="GW113" s="36">
        <f t="shared" si="58"/>
        <v>0</v>
      </c>
      <c r="GX113" s="36">
        <f t="shared" si="59"/>
        <v>0</v>
      </c>
      <c r="GY113" s="36">
        <f t="shared" si="60"/>
        <v>0</v>
      </c>
      <c r="GZ113" s="36">
        <f t="shared" si="61"/>
        <v>0</v>
      </c>
      <c r="HA113" s="488">
        <f t="shared" si="62"/>
        <v>10000000000</v>
      </c>
      <c r="HB113" s="288"/>
      <c r="HC113" s="36">
        <f t="shared" si="63"/>
        <v>11</v>
      </c>
      <c r="HE113">
        <f t="shared" si="64"/>
        <v>10000000000</v>
      </c>
      <c r="HF113" s="36">
        <f t="shared" si="65"/>
        <v>11</v>
      </c>
      <c r="HG113" s="36">
        <f t="shared" si="66"/>
        <v>1</v>
      </c>
      <c r="HH113" s="36" t="str">
        <f t="shared" si="67"/>
        <v/>
      </c>
      <c r="HI113" s="36">
        <f t="shared" si="73"/>
        <v>21</v>
      </c>
      <c r="HJ113" s="36"/>
      <c r="HK113" s="36"/>
      <c r="HL113" s="36"/>
      <c r="HM113">
        <f t="shared" si="74"/>
        <v>20000</v>
      </c>
      <c r="HN113">
        <f t="shared" si="68"/>
        <v>20000</v>
      </c>
      <c r="HO113" s="36">
        <f t="shared" si="69"/>
        <v>5</v>
      </c>
      <c r="HP113" s="36" t="str">
        <f t="shared" si="75"/>
        <v/>
      </c>
      <c r="HQ113" s="36" t="str">
        <f t="shared" si="76"/>
        <v/>
      </c>
      <c r="HU113" s="36"/>
    </row>
    <row r="114" spans="51:229" hidden="1" x14ac:dyDescent="0.25">
      <c r="AY114" s="36">
        <f t="shared" si="72"/>
        <v>22</v>
      </c>
      <c r="AZ114" s="36">
        <f t="shared" si="44"/>
        <v>999</v>
      </c>
      <c r="BB114" s="36">
        <f t="shared" si="31"/>
        <v>39</v>
      </c>
      <c r="BC114" s="36" t="str">
        <f>'Tabulka kvalifikace'!D46</f>
        <v/>
      </c>
      <c r="BD114" s="36">
        <f>'Tabulka kvalifikace'!AD46</f>
        <v>0</v>
      </c>
      <c r="BF114" s="1">
        <f t="shared" si="26"/>
        <v>999</v>
      </c>
      <c r="BH114" s="1">
        <f t="shared" si="27"/>
        <v>999</v>
      </c>
      <c r="BK114" s="1" t="str">
        <f t="shared" si="28"/>
        <v/>
      </c>
      <c r="BL114" s="1" t="str">
        <f t="shared" si="29"/>
        <v/>
      </c>
      <c r="DM114" s="36">
        <f t="shared" si="42"/>
        <v>54</v>
      </c>
      <c r="DN114" s="36">
        <f>'Tabulka kvalifikace'!D61</f>
        <v>0</v>
      </c>
      <c r="DV114" s="36"/>
      <c r="ED114" s="36">
        <f>'Tabulka kvalifikace'!AD61</f>
        <v>0</v>
      </c>
      <c r="EF114" s="36">
        <f t="shared" si="21"/>
        <v>99</v>
      </c>
      <c r="EH114" s="36">
        <f t="shared" si="22"/>
        <v>99</v>
      </c>
      <c r="EJ114" s="36" t="str">
        <f t="shared" si="23"/>
        <v/>
      </c>
      <c r="EK114" s="36" t="str">
        <f t="shared" si="24"/>
        <v/>
      </c>
      <c r="GA114" s="36" t="str">
        <f>'Tabulka kvalifikace'!DJ102</f>
        <v/>
      </c>
      <c r="GB114" s="36">
        <f>'Tabulka kvalifikace'!DL102</f>
        <v>0</v>
      </c>
      <c r="GC114" s="36">
        <f>'Tabulka kvalifikace'!DM102</f>
        <v>0</v>
      </c>
      <c r="GD114" s="36">
        <f>'Tabulka kvalifikace'!DS102</f>
        <v>0</v>
      </c>
      <c r="GE114" s="36">
        <f>'Tabulka kvalifikace'!DT102</f>
        <v>0</v>
      </c>
      <c r="GF114" s="36">
        <f>'Tabulka kvalifikace'!DU102</f>
        <v>0</v>
      </c>
      <c r="GG114" s="36">
        <f>IF(GA114="",0,('Tabulka kvalifikace'!DV102))</f>
        <v>0</v>
      </c>
      <c r="GH114" s="36">
        <f>'Tabulka kvalifikace'!DW102</f>
        <v>0</v>
      </c>
      <c r="GI114" s="149" t="str">
        <f>'Tabulka kvalifikace'!DR102</f>
        <v/>
      </c>
      <c r="GJ114" s="136">
        <f t="shared" si="45"/>
        <v>0</v>
      </c>
      <c r="GK114" s="138">
        <f t="shared" si="46"/>
        <v>0</v>
      </c>
      <c r="GL114" s="36">
        <f t="shared" si="47"/>
        <v>0</v>
      </c>
      <c r="GM114" s="36">
        <f t="shared" si="48"/>
        <v>0</v>
      </c>
      <c r="GN114" s="36">
        <f t="shared" si="49"/>
        <v>0</v>
      </c>
      <c r="GO114" s="36">
        <f t="shared" si="50"/>
        <v>0</v>
      </c>
      <c r="GP114" s="149">
        <f t="shared" si="51"/>
        <v>0</v>
      </c>
      <c r="GQ114" s="36">
        <f t="shared" si="52"/>
        <v>0</v>
      </c>
      <c r="GR114" s="138">
        <f t="shared" si="53"/>
        <v>22</v>
      </c>
      <c r="GS114" s="36">
        <f t="shared" si="54"/>
        <v>999</v>
      </c>
      <c r="GT114" s="36" t="str">
        <f t="shared" si="55"/>
        <v/>
      </c>
      <c r="GU114" s="36">
        <f t="shared" si="56"/>
        <v>0</v>
      </c>
      <c r="GV114" s="36">
        <f t="shared" si="57"/>
        <v>0</v>
      </c>
      <c r="GW114" s="36">
        <f t="shared" si="58"/>
        <v>0</v>
      </c>
      <c r="GX114" s="36">
        <f t="shared" si="59"/>
        <v>0</v>
      </c>
      <c r="GY114" s="36">
        <f t="shared" si="60"/>
        <v>0</v>
      </c>
      <c r="GZ114" s="36">
        <f t="shared" si="61"/>
        <v>0</v>
      </c>
      <c r="HA114" s="488">
        <f t="shared" si="62"/>
        <v>10000000000</v>
      </c>
      <c r="HB114" s="288"/>
      <c r="HC114" s="36">
        <f t="shared" si="63"/>
        <v>11</v>
      </c>
      <c r="HE114">
        <f t="shared" si="64"/>
        <v>10000000000</v>
      </c>
      <c r="HF114" s="36">
        <f t="shared" si="65"/>
        <v>11</v>
      </c>
      <c r="HG114" s="36">
        <f t="shared" si="66"/>
        <v>1</v>
      </c>
      <c r="HH114" s="36" t="str">
        <f t="shared" si="67"/>
        <v/>
      </c>
      <c r="HI114" s="36">
        <f t="shared" si="73"/>
        <v>22</v>
      </c>
      <c r="HJ114" s="36"/>
      <c r="HK114" s="36"/>
      <c r="HL114" s="36"/>
      <c r="HM114">
        <f t="shared" si="74"/>
        <v>20000</v>
      </c>
      <c r="HN114">
        <f t="shared" si="68"/>
        <v>20000</v>
      </c>
      <c r="HO114" s="36">
        <f t="shared" si="69"/>
        <v>5</v>
      </c>
      <c r="HP114" s="36" t="str">
        <f t="shared" si="75"/>
        <v/>
      </c>
      <c r="HQ114" s="36" t="str">
        <f t="shared" si="76"/>
        <v/>
      </c>
      <c r="HU114" s="36"/>
    </row>
    <row r="115" spans="51:229" hidden="1" x14ac:dyDescent="0.25">
      <c r="AY115" s="36">
        <f t="shared" si="72"/>
        <v>23</v>
      </c>
      <c r="AZ115" s="36">
        <f t="shared" si="44"/>
        <v>999</v>
      </c>
      <c r="BB115" s="36">
        <f t="shared" si="31"/>
        <v>40</v>
      </c>
      <c r="BC115" s="36">
        <f>'Tabulka kvalifikace'!D47</f>
        <v>0</v>
      </c>
      <c r="BD115" s="36">
        <f>'Tabulka kvalifikace'!AD47</f>
        <v>0</v>
      </c>
      <c r="BF115" s="1">
        <f t="shared" si="26"/>
        <v>999</v>
      </c>
      <c r="BH115" s="1">
        <f t="shared" si="27"/>
        <v>999</v>
      </c>
      <c r="BK115" s="1" t="str">
        <f t="shared" si="28"/>
        <v/>
      </c>
      <c r="BL115" s="1" t="str">
        <f t="shared" si="29"/>
        <v/>
      </c>
      <c r="DM115" s="36">
        <f t="shared" si="42"/>
        <v>55</v>
      </c>
      <c r="DN115" s="36" t="str">
        <f>'Tabulka kvalifikace'!D62</f>
        <v/>
      </c>
      <c r="DV115" s="36"/>
      <c r="ED115" s="36">
        <f>'Tabulka kvalifikace'!AD62</f>
        <v>0</v>
      </c>
      <c r="EF115" s="36">
        <f t="shared" si="21"/>
        <v>99</v>
      </c>
      <c r="EH115" s="36">
        <f t="shared" si="22"/>
        <v>99</v>
      </c>
      <c r="EJ115" s="36" t="str">
        <f t="shared" si="23"/>
        <v/>
      </c>
      <c r="EK115" s="36" t="str">
        <f t="shared" si="24"/>
        <v/>
      </c>
      <c r="GA115" s="36" t="str">
        <f>'Tabulka kvalifikace'!DJ103</f>
        <v/>
      </c>
      <c r="GB115" s="36">
        <f>'Tabulka kvalifikace'!DL103</f>
        <v>0</v>
      </c>
      <c r="GC115" s="36">
        <f>'Tabulka kvalifikace'!DM103</f>
        <v>0</v>
      </c>
      <c r="GD115" s="36">
        <f>'Tabulka kvalifikace'!DS103</f>
        <v>0</v>
      </c>
      <c r="GE115" s="36">
        <f>'Tabulka kvalifikace'!DT103</f>
        <v>0</v>
      </c>
      <c r="GF115" s="36">
        <f>'Tabulka kvalifikace'!DU103</f>
        <v>0</v>
      </c>
      <c r="GG115" s="36">
        <f>IF(GA115="",0,('Tabulka kvalifikace'!DV103))</f>
        <v>0</v>
      </c>
      <c r="GH115" s="36">
        <f>'Tabulka kvalifikace'!DW103</f>
        <v>0</v>
      </c>
      <c r="GI115" s="149" t="str">
        <f>'Tabulka kvalifikace'!DR103</f>
        <v/>
      </c>
      <c r="GJ115" s="136">
        <f t="shared" si="45"/>
        <v>0</v>
      </c>
      <c r="GK115" s="138">
        <f t="shared" si="46"/>
        <v>0</v>
      </c>
      <c r="GL115" s="36">
        <f t="shared" si="47"/>
        <v>0</v>
      </c>
      <c r="GM115" s="36">
        <f t="shared" si="48"/>
        <v>0</v>
      </c>
      <c r="GN115" s="36">
        <f t="shared" si="49"/>
        <v>0</v>
      </c>
      <c r="GO115" s="36">
        <f t="shared" si="50"/>
        <v>0</v>
      </c>
      <c r="GP115" s="149">
        <f t="shared" si="51"/>
        <v>0</v>
      </c>
      <c r="GQ115" s="36">
        <f t="shared" si="52"/>
        <v>0</v>
      </c>
      <c r="GR115" s="138">
        <f t="shared" si="53"/>
        <v>23</v>
      </c>
      <c r="GS115" s="36">
        <f t="shared" si="54"/>
        <v>999</v>
      </c>
      <c r="GT115" s="36" t="str">
        <f t="shared" si="55"/>
        <v/>
      </c>
      <c r="GU115" s="36">
        <f t="shared" si="56"/>
        <v>0</v>
      </c>
      <c r="GV115" s="36">
        <f t="shared" si="57"/>
        <v>0</v>
      </c>
      <c r="GW115" s="36">
        <f t="shared" si="58"/>
        <v>0</v>
      </c>
      <c r="GX115" s="36">
        <f t="shared" si="59"/>
        <v>0</v>
      </c>
      <c r="GY115" s="36">
        <f t="shared" si="60"/>
        <v>0</v>
      </c>
      <c r="GZ115" s="36">
        <f t="shared" si="61"/>
        <v>0</v>
      </c>
      <c r="HA115" s="488">
        <f t="shared" si="62"/>
        <v>10000000000</v>
      </c>
      <c r="HB115" s="288"/>
      <c r="HC115" s="36">
        <f t="shared" si="63"/>
        <v>11</v>
      </c>
      <c r="HE115">
        <f t="shared" si="64"/>
        <v>10000000000</v>
      </c>
      <c r="HF115" s="36">
        <f t="shared" si="65"/>
        <v>11</v>
      </c>
      <c r="HG115" s="36">
        <f t="shared" si="66"/>
        <v>1</v>
      </c>
      <c r="HH115" s="36" t="str">
        <f t="shared" si="67"/>
        <v/>
      </c>
      <c r="HI115" s="36">
        <f t="shared" si="73"/>
        <v>23</v>
      </c>
      <c r="HJ115" s="36"/>
      <c r="HK115" s="36"/>
      <c r="HL115" s="36"/>
      <c r="HM115">
        <f t="shared" si="74"/>
        <v>20000</v>
      </c>
      <c r="HN115">
        <f t="shared" si="68"/>
        <v>20000</v>
      </c>
      <c r="HO115" s="36">
        <f t="shared" si="69"/>
        <v>5</v>
      </c>
      <c r="HP115" s="36" t="str">
        <f t="shared" si="75"/>
        <v/>
      </c>
      <c r="HQ115" s="36" t="str">
        <f t="shared" si="76"/>
        <v/>
      </c>
      <c r="HU115" s="36"/>
    </row>
    <row r="116" spans="51:229" hidden="1" x14ac:dyDescent="0.25">
      <c r="AY116" s="36">
        <f t="shared" si="72"/>
        <v>24</v>
      </c>
      <c r="AZ116" s="36">
        <f t="shared" si="44"/>
        <v>999</v>
      </c>
      <c r="BB116" s="36">
        <f t="shared" si="31"/>
        <v>41</v>
      </c>
      <c r="BC116" s="36" t="str">
        <f>'Tabulka kvalifikace'!D48</f>
        <v/>
      </c>
      <c r="BD116" s="36">
        <f>'Tabulka kvalifikace'!AD48</f>
        <v>0</v>
      </c>
      <c r="BF116" s="1">
        <f t="shared" si="26"/>
        <v>999</v>
      </c>
      <c r="BH116" s="1">
        <f t="shared" si="27"/>
        <v>999</v>
      </c>
      <c r="BK116" s="1" t="str">
        <f t="shared" si="28"/>
        <v/>
      </c>
      <c r="BL116" s="1" t="str">
        <f t="shared" si="29"/>
        <v/>
      </c>
      <c r="DM116" s="36">
        <f t="shared" si="42"/>
        <v>56</v>
      </c>
      <c r="DN116" s="36">
        <f>'Tabulka kvalifikace'!D63</f>
        <v>0</v>
      </c>
      <c r="DV116" s="36"/>
      <c r="ED116" s="36">
        <f>'Tabulka kvalifikace'!AD63</f>
        <v>0</v>
      </c>
      <c r="EF116" s="36">
        <f t="shared" si="21"/>
        <v>99</v>
      </c>
      <c r="EH116" s="36">
        <f t="shared" si="22"/>
        <v>99</v>
      </c>
      <c r="EJ116" s="36" t="str">
        <f t="shared" si="23"/>
        <v/>
      </c>
      <c r="EK116" s="36" t="str">
        <f t="shared" si="24"/>
        <v/>
      </c>
      <c r="GA116" s="36" t="str">
        <f>'Tabulka kvalifikace'!DJ104</f>
        <v/>
      </c>
      <c r="GB116" s="36">
        <f>'Tabulka kvalifikace'!DL104</f>
        <v>0</v>
      </c>
      <c r="GC116" s="36">
        <f>'Tabulka kvalifikace'!DM104</f>
        <v>0</v>
      </c>
      <c r="GD116" s="36">
        <f>'Tabulka kvalifikace'!DS104</f>
        <v>0</v>
      </c>
      <c r="GE116" s="36">
        <f>'Tabulka kvalifikace'!DT104</f>
        <v>0</v>
      </c>
      <c r="GF116" s="36">
        <f>'Tabulka kvalifikace'!DU104</f>
        <v>0</v>
      </c>
      <c r="GG116" s="36">
        <f>IF(GA116="",0,('Tabulka kvalifikace'!DV104))</f>
        <v>0</v>
      </c>
      <c r="GH116" s="36">
        <f>'Tabulka kvalifikace'!DW104</f>
        <v>0</v>
      </c>
      <c r="GI116" s="149" t="str">
        <f>'Tabulka kvalifikace'!DR104</f>
        <v/>
      </c>
      <c r="GJ116" s="136">
        <f t="shared" si="45"/>
        <v>0</v>
      </c>
      <c r="GK116" s="138">
        <f t="shared" si="46"/>
        <v>0</v>
      </c>
      <c r="GL116" s="36">
        <f t="shared" si="47"/>
        <v>0</v>
      </c>
      <c r="GM116" s="36">
        <f t="shared" si="48"/>
        <v>0</v>
      </c>
      <c r="GN116" s="36">
        <f t="shared" si="49"/>
        <v>0</v>
      </c>
      <c r="GO116" s="36">
        <f t="shared" si="50"/>
        <v>0</v>
      </c>
      <c r="GP116" s="149">
        <f t="shared" si="51"/>
        <v>0</v>
      </c>
      <c r="GQ116" s="36">
        <f t="shared" si="52"/>
        <v>0</v>
      </c>
      <c r="GR116" s="138">
        <f t="shared" si="53"/>
        <v>24</v>
      </c>
      <c r="GS116" s="36">
        <f t="shared" si="54"/>
        <v>999</v>
      </c>
      <c r="GT116" s="36" t="str">
        <f t="shared" si="55"/>
        <v/>
      </c>
      <c r="GU116" s="36">
        <f t="shared" si="56"/>
        <v>0</v>
      </c>
      <c r="GV116" s="36">
        <f t="shared" si="57"/>
        <v>0</v>
      </c>
      <c r="GW116" s="36">
        <f t="shared" si="58"/>
        <v>0</v>
      </c>
      <c r="GX116" s="36">
        <f t="shared" si="59"/>
        <v>0</v>
      </c>
      <c r="GY116" s="36">
        <f t="shared" si="60"/>
        <v>0</v>
      </c>
      <c r="GZ116" s="36">
        <f t="shared" si="61"/>
        <v>0</v>
      </c>
      <c r="HA116" s="488">
        <f t="shared" si="62"/>
        <v>10000000000</v>
      </c>
      <c r="HB116" s="288"/>
      <c r="HC116" s="36">
        <f t="shared" si="63"/>
        <v>11</v>
      </c>
      <c r="HE116">
        <f t="shared" si="64"/>
        <v>10000000000</v>
      </c>
      <c r="HF116" s="36">
        <f t="shared" si="65"/>
        <v>11</v>
      </c>
      <c r="HG116" s="36">
        <f t="shared" si="66"/>
        <v>1</v>
      </c>
      <c r="HH116" s="36" t="str">
        <f t="shared" si="67"/>
        <v/>
      </c>
      <c r="HI116" s="36">
        <f t="shared" si="73"/>
        <v>24</v>
      </c>
      <c r="HJ116" s="36"/>
      <c r="HK116" s="36"/>
      <c r="HL116" s="36"/>
      <c r="HM116">
        <f t="shared" si="74"/>
        <v>20000</v>
      </c>
      <c r="HN116">
        <f t="shared" si="68"/>
        <v>20000</v>
      </c>
      <c r="HO116" s="36">
        <f t="shared" si="69"/>
        <v>5</v>
      </c>
      <c r="HP116" s="36" t="str">
        <f t="shared" si="75"/>
        <v/>
      </c>
      <c r="HQ116" s="36" t="str">
        <f t="shared" si="76"/>
        <v/>
      </c>
      <c r="HU116" s="36"/>
    </row>
    <row r="117" spans="51:229" hidden="1" x14ac:dyDescent="0.25">
      <c r="AY117" s="36">
        <f t="shared" si="72"/>
        <v>25</v>
      </c>
      <c r="AZ117" s="36">
        <f t="shared" si="44"/>
        <v>999</v>
      </c>
      <c r="BB117" s="36">
        <f t="shared" si="31"/>
        <v>42</v>
      </c>
      <c r="BC117" s="36">
        <f>'Tabulka kvalifikace'!D49</f>
        <v>0</v>
      </c>
      <c r="BD117" s="36">
        <f>'Tabulka kvalifikace'!AD49</f>
        <v>0</v>
      </c>
      <c r="BF117" s="1">
        <f t="shared" si="26"/>
        <v>999</v>
      </c>
      <c r="BH117" s="1">
        <f t="shared" si="27"/>
        <v>999</v>
      </c>
      <c r="BK117" s="1" t="str">
        <f t="shared" si="28"/>
        <v/>
      </c>
      <c r="BL117" s="1" t="str">
        <f t="shared" si="29"/>
        <v/>
      </c>
      <c r="DM117" s="36">
        <f t="shared" si="42"/>
        <v>57</v>
      </c>
      <c r="DN117" s="36" t="str">
        <f>'Tabulka kvalifikace'!D64</f>
        <v/>
      </c>
      <c r="DV117" s="36"/>
      <c r="ED117" s="36">
        <f>'Tabulka kvalifikace'!AD64</f>
        <v>0</v>
      </c>
      <c r="EF117" s="36">
        <f t="shared" si="21"/>
        <v>99</v>
      </c>
      <c r="EH117" s="36">
        <f t="shared" si="22"/>
        <v>99</v>
      </c>
      <c r="EJ117" s="36" t="str">
        <f t="shared" si="23"/>
        <v/>
      </c>
      <c r="EK117" s="36" t="str">
        <f t="shared" si="24"/>
        <v/>
      </c>
      <c r="GA117" s="36" t="str">
        <f>'Tabulka kvalifikace'!DJ105</f>
        <v/>
      </c>
      <c r="GB117" s="36">
        <f>'Tabulka kvalifikace'!DL105</f>
        <v>0</v>
      </c>
      <c r="GC117" s="36">
        <f>'Tabulka kvalifikace'!DM105</f>
        <v>0</v>
      </c>
      <c r="GD117" s="36">
        <f>'Tabulka kvalifikace'!DS105</f>
        <v>0</v>
      </c>
      <c r="GE117" s="36">
        <f>'Tabulka kvalifikace'!DT105</f>
        <v>0</v>
      </c>
      <c r="GF117" s="36">
        <f>'Tabulka kvalifikace'!DU105</f>
        <v>0</v>
      </c>
      <c r="GG117" s="36">
        <f>IF(GA117="",0,('Tabulka kvalifikace'!DV105))</f>
        <v>0</v>
      </c>
      <c r="GH117" s="36">
        <f>'Tabulka kvalifikace'!DW105</f>
        <v>0</v>
      </c>
      <c r="GI117" s="149" t="str">
        <f>'Tabulka kvalifikace'!DR105</f>
        <v/>
      </c>
      <c r="GJ117" s="136">
        <f t="shared" si="45"/>
        <v>0</v>
      </c>
      <c r="GK117" s="138">
        <f t="shared" si="46"/>
        <v>0</v>
      </c>
      <c r="GL117" s="36">
        <f t="shared" si="47"/>
        <v>0</v>
      </c>
      <c r="GM117" s="36">
        <f t="shared" si="48"/>
        <v>0</v>
      </c>
      <c r="GN117" s="36">
        <f t="shared" si="49"/>
        <v>0</v>
      </c>
      <c r="GO117" s="36">
        <f t="shared" si="50"/>
        <v>0</v>
      </c>
      <c r="GP117" s="149">
        <f t="shared" si="51"/>
        <v>0</v>
      </c>
      <c r="GQ117" s="36">
        <f t="shared" si="52"/>
        <v>0</v>
      </c>
      <c r="GR117" s="138">
        <f t="shared" si="53"/>
        <v>25</v>
      </c>
      <c r="GS117" s="36">
        <f t="shared" si="54"/>
        <v>999</v>
      </c>
      <c r="GT117" s="36" t="str">
        <f t="shared" si="55"/>
        <v/>
      </c>
      <c r="GU117" s="36">
        <f t="shared" si="56"/>
        <v>0</v>
      </c>
      <c r="GV117" s="36">
        <f t="shared" si="57"/>
        <v>0</v>
      </c>
      <c r="GW117" s="36">
        <f t="shared" si="58"/>
        <v>0</v>
      </c>
      <c r="GX117" s="36">
        <f t="shared" si="59"/>
        <v>0</v>
      </c>
      <c r="GY117" s="36">
        <f t="shared" si="60"/>
        <v>0</v>
      </c>
      <c r="GZ117" s="36">
        <f t="shared" si="61"/>
        <v>0</v>
      </c>
      <c r="HA117" s="488">
        <f t="shared" si="62"/>
        <v>10000000000</v>
      </c>
      <c r="HB117" s="288"/>
      <c r="HC117" s="36">
        <f t="shared" si="63"/>
        <v>11</v>
      </c>
      <c r="HE117">
        <f t="shared" si="64"/>
        <v>10000000000</v>
      </c>
      <c r="HF117" s="36">
        <f t="shared" si="65"/>
        <v>11</v>
      </c>
      <c r="HG117" s="36">
        <f t="shared" si="66"/>
        <v>1</v>
      </c>
      <c r="HH117" s="36" t="str">
        <f t="shared" si="67"/>
        <v/>
      </c>
      <c r="HI117" s="36">
        <f t="shared" si="73"/>
        <v>25</v>
      </c>
      <c r="HJ117" s="36"/>
      <c r="HK117" s="36"/>
      <c r="HL117" s="36"/>
      <c r="HM117">
        <f t="shared" si="74"/>
        <v>20000</v>
      </c>
      <c r="HN117">
        <f t="shared" si="68"/>
        <v>20000</v>
      </c>
      <c r="HO117" s="36">
        <f t="shared" si="69"/>
        <v>5</v>
      </c>
      <c r="HP117" s="36" t="str">
        <f t="shared" si="75"/>
        <v/>
      </c>
      <c r="HQ117" s="36" t="str">
        <f t="shared" si="76"/>
        <v/>
      </c>
      <c r="HU117" s="36"/>
    </row>
    <row r="118" spans="51:229" hidden="1" x14ac:dyDescent="0.25">
      <c r="AY118" s="36">
        <f t="shared" si="72"/>
        <v>26</v>
      </c>
      <c r="AZ118" s="36">
        <f t="shared" si="44"/>
        <v>999</v>
      </c>
      <c r="BB118" s="36">
        <f t="shared" si="31"/>
        <v>43</v>
      </c>
      <c r="BC118" s="36" t="str">
        <f>'Tabulka kvalifikace'!D50</f>
        <v/>
      </c>
      <c r="BD118" s="36">
        <f>'Tabulka kvalifikace'!AD50</f>
        <v>0</v>
      </c>
      <c r="BF118" s="1">
        <f t="shared" si="26"/>
        <v>999</v>
      </c>
      <c r="BH118" s="1">
        <f t="shared" si="27"/>
        <v>999</v>
      </c>
      <c r="BK118" s="1" t="str">
        <f t="shared" si="28"/>
        <v/>
      </c>
      <c r="BL118" s="1" t="str">
        <f t="shared" si="29"/>
        <v/>
      </c>
      <c r="DM118" s="36">
        <f t="shared" si="42"/>
        <v>58</v>
      </c>
      <c r="DN118" s="36">
        <f>'Tabulka kvalifikace'!D65</f>
        <v>0</v>
      </c>
      <c r="DV118" s="36"/>
      <c r="ED118" s="36">
        <f>'Tabulka kvalifikace'!AD65</f>
        <v>0</v>
      </c>
      <c r="EF118" s="36">
        <f t="shared" si="21"/>
        <v>99</v>
      </c>
      <c r="EH118" s="36">
        <f t="shared" si="22"/>
        <v>99</v>
      </c>
      <c r="EJ118" s="36" t="str">
        <f t="shared" si="23"/>
        <v/>
      </c>
      <c r="EK118" s="36" t="str">
        <f t="shared" si="24"/>
        <v/>
      </c>
      <c r="GA118" s="36" t="str">
        <f>'Tabulka kvalifikace'!DJ106</f>
        <v/>
      </c>
      <c r="GB118" s="36">
        <f>'Tabulka kvalifikace'!DL106</f>
        <v>0</v>
      </c>
      <c r="GC118" s="36">
        <f>'Tabulka kvalifikace'!DM106</f>
        <v>0</v>
      </c>
      <c r="GD118" s="36">
        <f>'Tabulka kvalifikace'!DS106</f>
        <v>0</v>
      </c>
      <c r="GE118" s="36">
        <f>'Tabulka kvalifikace'!DT106</f>
        <v>0</v>
      </c>
      <c r="GF118" s="36">
        <f>'Tabulka kvalifikace'!DU106</f>
        <v>0</v>
      </c>
      <c r="GG118" s="36">
        <f>IF(GA118="",0,('Tabulka kvalifikace'!DV106))</f>
        <v>0</v>
      </c>
      <c r="GH118" s="36">
        <f>'Tabulka kvalifikace'!DW106</f>
        <v>0</v>
      </c>
      <c r="GI118" s="149" t="str">
        <f>'Tabulka kvalifikace'!DR106</f>
        <v/>
      </c>
      <c r="GJ118" s="136">
        <f t="shared" si="45"/>
        <v>0</v>
      </c>
      <c r="GK118" s="138">
        <f t="shared" si="46"/>
        <v>0</v>
      </c>
      <c r="GL118" s="36">
        <f t="shared" si="47"/>
        <v>0</v>
      </c>
      <c r="GM118" s="36">
        <f t="shared" si="48"/>
        <v>0</v>
      </c>
      <c r="GN118" s="36">
        <f t="shared" si="49"/>
        <v>0</v>
      </c>
      <c r="GO118" s="36">
        <f t="shared" si="50"/>
        <v>0</v>
      </c>
      <c r="GP118" s="149">
        <f t="shared" si="51"/>
        <v>0</v>
      </c>
      <c r="GQ118" s="36">
        <f t="shared" si="52"/>
        <v>0</v>
      </c>
      <c r="GR118" s="138">
        <f t="shared" si="53"/>
        <v>26</v>
      </c>
      <c r="GS118" s="36">
        <f t="shared" si="54"/>
        <v>999</v>
      </c>
      <c r="GT118" s="36" t="str">
        <f t="shared" si="55"/>
        <v/>
      </c>
      <c r="GU118" s="36">
        <f t="shared" si="56"/>
        <v>0</v>
      </c>
      <c r="GV118" s="36">
        <f t="shared" si="57"/>
        <v>0</v>
      </c>
      <c r="GW118" s="36">
        <f t="shared" si="58"/>
        <v>0</v>
      </c>
      <c r="GX118" s="36">
        <f t="shared" si="59"/>
        <v>0</v>
      </c>
      <c r="GY118" s="36">
        <f t="shared" si="60"/>
        <v>0</v>
      </c>
      <c r="GZ118" s="36">
        <f t="shared" si="61"/>
        <v>0</v>
      </c>
      <c r="HA118" s="488">
        <f t="shared" si="62"/>
        <v>10000000000</v>
      </c>
      <c r="HB118" s="288"/>
      <c r="HC118" s="36">
        <f t="shared" si="63"/>
        <v>11</v>
      </c>
      <c r="HE118">
        <f t="shared" si="64"/>
        <v>10000000000</v>
      </c>
      <c r="HF118" s="36">
        <f t="shared" si="65"/>
        <v>11</v>
      </c>
      <c r="HG118" s="36">
        <f t="shared" si="66"/>
        <v>1</v>
      </c>
      <c r="HH118" s="36" t="str">
        <f t="shared" si="67"/>
        <v/>
      </c>
      <c r="HI118" s="36">
        <f t="shared" si="73"/>
        <v>26</v>
      </c>
      <c r="HJ118" s="36"/>
      <c r="HK118" s="36"/>
      <c r="HL118" s="36"/>
      <c r="HM118">
        <f t="shared" si="74"/>
        <v>20000</v>
      </c>
      <c r="HN118">
        <f t="shared" si="68"/>
        <v>20000</v>
      </c>
      <c r="HO118" s="36">
        <f t="shared" si="69"/>
        <v>5</v>
      </c>
      <c r="HP118" s="36" t="str">
        <f t="shared" si="75"/>
        <v/>
      </c>
      <c r="HQ118" s="36" t="str">
        <f t="shared" si="76"/>
        <v/>
      </c>
      <c r="HU118" s="36"/>
    </row>
    <row r="119" spans="51:229" hidden="1" x14ac:dyDescent="0.25">
      <c r="AY119" s="36">
        <f t="shared" si="72"/>
        <v>27</v>
      </c>
      <c r="AZ119" s="36">
        <f t="shared" si="44"/>
        <v>999</v>
      </c>
      <c r="BB119" s="36">
        <f t="shared" si="31"/>
        <v>44</v>
      </c>
      <c r="BC119" s="36">
        <f>'Tabulka kvalifikace'!D51</f>
        <v>0</v>
      </c>
      <c r="BD119" s="36">
        <f>'Tabulka kvalifikace'!AD51</f>
        <v>0</v>
      </c>
      <c r="BF119" s="1">
        <f t="shared" si="26"/>
        <v>999</v>
      </c>
      <c r="BH119" s="1">
        <f t="shared" si="27"/>
        <v>999</v>
      </c>
      <c r="BK119" s="1" t="str">
        <f t="shared" si="28"/>
        <v/>
      </c>
      <c r="BL119" s="1" t="str">
        <f t="shared" si="29"/>
        <v/>
      </c>
      <c r="DM119" s="36">
        <f t="shared" si="42"/>
        <v>59</v>
      </c>
      <c r="DN119" s="36" t="str">
        <f>'Tabulka kvalifikace'!D66</f>
        <v/>
      </c>
      <c r="DV119" s="36"/>
      <c r="ED119" s="36">
        <f>'Tabulka kvalifikace'!AD66</f>
        <v>0</v>
      </c>
      <c r="EF119" s="36">
        <f t="shared" si="21"/>
        <v>99</v>
      </c>
      <c r="EH119" s="36">
        <f t="shared" si="22"/>
        <v>99</v>
      </c>
      <c r="EJ119" s="36" t="str">
        <f t="shared" si="23"/>
        <v/>
      </c>
      <c r="EK119" s="36" t="str">
        <f t="shared" si="24"/>
        <v/>
      </c>
      <c r="GA119" s="36" t="str">
        <f>'Tabulka kvalifikace'!DJ107</f>
        <v/>
      </c>
      <c r="GB119" s="36">
        <f>'Tabulka kvalifikace'!DL107</f>
        <v>0</v>
      </c>
      <c r="GC119" s="36">
        <f>'Tabulka kvalifikace'!DM107</f>
        <v>0</v>
      </c>
      <c r="GD119" s="36">
        <f>'Tabulka kvalifikace'!DS107</f>
        <v>0</v>
      </c>
      <c r="GE119" s="36">
        <f>'Tabulka kvalifikace'!DT107</f>
        <v>0</v>
      </c>
      <c r="GF119" s="36">
        <f>'Tabulka kvalifikace'!DU107</f>
        <v>0</v>
      </c>
      <c r="GG119" s="36">
        <f>IF(GA119="",0,('Tabulka kvalifikace'!DV107))</f>
        <v>0</v>
      </c>
      <c r="GH119" s="36">
        <f>'Tabulka kvalifikace'!DW107</f>
        <v>0</v>
      </c>
      <c r="GI119" s="149" t="str">
        <f>'Tabulka kvalifikace'!DR107</f>
        <v/>
      </c>
      <c r="GJ119" s="136">
        <f t="shared" si="45"/>
        <v>0</v>
      </c>
      <c r="GK119" s="138">
        <f t="shared" si="46"/>
        <v>0</v>
      </c>
      <c r="GL119" s="36">
        <f t="shared" si="47"/>
        <v>0</v>
      </c>
      <c r="GM119" s="36">
        <f t="shared" si="48"/>
        <v>0</v>
      </c>
      <c r="GN119" s="36">
        <f t="shared" si="49"/>
        <v>0</v>
      </c>
      <c r="GO119" s="36">
        <f t="shared" si="50"/>
        <v>0</v>
      </c>
      <c r="GP119" s="149">
        <f t="shared" si="51"/>
        <v>0</v>
      </c>
      <c r="GQ119" s="36">
        <f t="shared" si="52"/>
        <v>0</v>
      </c>
      <c r="GR119" s="138">
        <f t="shared" si="53"/>
        <v>27</v>
      </c>
      <c r="GS119" s="36">
        <f t="shared" si="54"/>
        <v>999</v>
      </c>
      <c r="GT119" s="36" t="str">
        <f t="shared" si="55"/>
        <v/>
      </c>
      <c r="GU119" s="36">
        <f t="shared" si="56"/>
        <v>0</v>
      </c>
      <c r="GV119" s="36">
        <f t="shared" si="57"/>
        <v>0</v>
      </c>
      <c r="GW119" s="36">
        <f t="shared" si="58"/>
        <v>0</v>
      </c>
      <c r="GX119" s="36">
        <f t="shared" si="59"/>
        <v>0</v>
      </c>
      <c r="GY119" s="36">
        <f t="shared" si="60"/>
        <v>0</v>
      </c>
      <c r="GZ119" s="36">
        <f t="shared" si="61"/>
        <v>0</v>
      </c>
      <c r="HA119" s="488">
        <f t="shared" si="62"/>
        <v>10000000000</v>
      </c>
      <c r="HB119" s="288"/>
      <c r="HC119" s="36">
        <f t="shared" si="63"/>
        <v>11</v>
      </c>
      <c r="HE119">
        <f t="shared" si="64"/>
        <v>10000000000</v>
      </c>
      <c r="HF119" s="36">
        <f t="shared" si="65"/>
        <v>11</v>
      </c>
      <c r="HG119" s="36">
        <f t="shared" si="66"/>
        <v>1</v>
      </c>
      <c r="HH119" s="36" t="str">
        <f t="shared" si="67"/>
        <v/>
      </c>
      <c r="HI119" s="36">
        <f t="shared" si="73"/>
        <v>27</v>
      </c>
      <c r="HJ119" s="36"/>
      <c r="HK119" s="36"/>
      <c r="HL119" s="36"/>
      <c r="HM119">
        <f t="shared" si="74"/>
        <v>20000</v>
      </c>
      <c r="HN119">
        <f t="shared" si="68"/>
        <v>20000</v>
      </c>
      <c r="HO119" s="36">
        <f t="shared" si="69"/>
        <v>5</v>
      </c>
      <c r="HP119" s="36" t="str">
        <f t="shared" si="75"/>
        <v/>
      </c>
      <c r="HQ119" s="36" t="str">
        <f t="shared" si="76"/>
        <v/>
      </c>
      <c r="HU119" s="36"/>
    </row>
    <row r="120" spans="51:229" hidden="1" x14ac:dyDescent="0.25">
      <c r="AY120" s="36">
        <f t="shared" si="72"/>
        <v>28</v>
      </c>
      <c r="AZ120" s="36">
        <f t="shared" si="44"/>
        <v>999</v>
      </c>
      <c r="BB120" s="36">
        <f t="shared" si="31"/>
        <v>45</v>
      </c>
      <c r="BC120" s="36" t="str">
        <f>'Tabulka kvalifikace'!D52</f>
        <v/>
      </c>
      <c r="BD120" s="36">
        <f>'Tabulka kvalifikace'!AD52</f>
        <v>0</v>
      </c>
      <c r="BF120" s="1">
        <f t="shared" si="26"/>
        <v>999</v>
      </c>
      <c r="BH120" s="1">
        <f t="shared" si="27"/>
        <v>999</v>
      </c>
      <c r="BK120" s="1" t="str">
        <f t="shared" si="28"/>
        <v/>
      </c>
      <c r="BL120" s="1" t="str">
        <f t="shared" si="29"/>
        <v/>
      </c>
      <c r="DM120" s="36">
        <f t="shared" si="42"/>
        <v>60</v>
      </c>
      <c r="DN120" s="36">
        <f>'Tabulka kvalifikace'!D67</f>
        <v>0</v>
      </c>
      <c r="DV120" s="36"/>
      <c r="ED120" s="36">
        <f>'Tabulka kvalifikace'!AD67</f>
        <v>0</v>
      </c>
      <c r="EF120" s="36">
        <f t="shared" si="21"/>
        <v>99</v>
      </c>
      <c r="EH120" s="36">
        <f t="shared" si="22"/>
        <v>99</v>
      </c>
      <c r="EJ120" s="36" t="str">
        <f t="shared" si="23"/>
        <v/>
      </c>
      <c r="EK120" s="36" t="str">
        <f t="shared" si="24"/>
        <v/>
      </c>
      <c r="GA120" s="36" t="str">
        <f>'Tabulka kvalifikace'!DJ108</f>
        <v/>
      </c>
      <c r="GB120" s="36">
        <f>'Tabulka kvalifikace'!DL108</f>
        <v>0</v>
      </c>
      <c r="GC120" s="36">
        <f>'Tabulka kvalifikace'!DM108</f>
        <v>0</v>
      </c>
      <c r="GD120" s="36">
        <f>'Tabulka kvalifikace'!DS108</f>
        <v>0</v>
      </c>
      <c r="GE120" s="36">
        <f>'Tabulka kvalifikace'!DT108</f>
        <v>0</v>
      </c>
      <c r="GF120" s="36">
        <f>'Tabulka kvalifikace'!DU108</f>
        <v>0</v>
      </c>
      <c r="GG120" s="36">
        <f>IF(GA120="",0,('Tabulka kvalifikace'!DV108))</f>
        <v>0</v>
      </c>
      <c r="GH120" s="36">
        <f>'Tabulka kvalifikace'!DW108</f>
        <v>0</v>
      </c>
      <c r="GI120" s="149" t="str">
        <f>'Tabulka kvalifikace'!DR108</f>
        <v/>
      </c>
      <c r="GJ120" s="136">
        <f t="shared" si="45"/>
        <v>0</v>
      </c>
      <c r="GK120" s="138">
        <f t="shared" si="46"/>
        <v>0</v>
      </c>
      <c r="GL120" s="36">
        <f t="shared" si="47"/>
        <v>0</v>
      </c>
      <c r="GM120" s="36">
        <f t="shared" si="48"/>
        <v>0</v>
      </c>
      <c r="GN120" s="36">
        <f t="shared" si="49"/>
        <v>0</v>
      </c>
      <c r="GO120" s="36">
        <f t="shared" si="50"/>
        <v>0</v>
      </c>
      <c r="GP120" s="149">
        <f t="shared" si="51"/>
        <v>0</v>
      </c>
      <c r="GQ120" s="36">
        <f t="shared" si="52"/>
        <v>0</v>
      </c>
      <c r="GR120" s="138">
        <f t="shared" si="53"/>
        <v>28</v>
      </c>
      <c r="GS120" s="36">
        <f t="shared" si="54"/>
        <v>999</v>
      </c>
      <c r="GT120" s="36" t="str">
        <f t="shared" si="55"/>
        <v/>
      </c>
      <c r="GU120" s="36">
        <f t="shared" si="56"/>
        <v>0</v>
      </c>
      <c r="GV120" s="36">
        <f t="shared" si="57"/>
        <v>0</v>
      </c>
      <c r="GW120" s="36">
        <f t="shared" si="58"/>
        <v>0</v>
      </c>
      <c r="GX120" s="36">
        <f t="shared" si="59"/>
        <v>0</v>
      </c>
      <c r="GY120" s="36">
        <f t="shared" si="60"/>
        <v>0</v>
      </c>
      <c r="GZ120" s="36">
        <f t="shared" si="61"/>
        <v>0</v>
      </c>
      <c r="HA120" s="488">
        <f t="shared" si="62"/>
        <v>10000000000</v>
      </c>
      <c r="HB120" s="288"/>
      <c r="HC120" s="36">
        <f t="shared" si="63"/>
        <v>11</v>
      </c>
      <c r="HE120">
        <f t="shared" si="64"/>
        <v>10000000000</v>
      </c>
      <c r="HF120" s="36">
        <f t="shared" si="65"/>
        <v>11</v>
      </c>
      <c r="HG120" s="36">
        <f t="shared" si="66"/>
        <v>1</v>
      </c>
      <c r="HH120" s="36" t="str">
        <f t="shared" si="67"/>
        <v/>
      </c>
      <c r="HI120" s="36">
        <f t="shared" si="73"/>
        <v>28</v>
      </c>
      <c r="HJ120" s="36"/>
      <c r="HK120" s="36"/>
      <c r="HL120" s="36"/>
      <c r="HM120">
        <f t="shared" si="74"/>
        <v>20000</v>
      </c>
      <c r="HN120">
        <f t="shared" si="68"/>
        <v>20000</v>
      </c>
      <c r="HO120" s="36">
        <f t="shared" si="69"/>
        <v>5</v>
      </c>
      <c r="HP120" s="36" t="str">
        <f t="shared" si="75"/>
        <v/>
      </c>
      <c r="HQ120" s="36" t="str">
        <f t="shared" si="76"/>
        <v/>
      </c>
      <c r="HU120" s="36"/>
    </row>
    <row r="121" spans="51:229" hidden="1" x14ac:dyDescent="0.25">
      <c r="AY121" s="36">
        <f t="shared" si="72"/>
        <v>29</v>
      </c>
      <c r="AZ121" s="36">
        <f t="shared" si="44"/>
        <v>999</v>
      </c>
      <c r="BB121" s="36">
        <f t="shared" si="31"/>
        <v>46</v>
      </c>
      <c r="BC121" s="36">
        <f>'Tabulka kvalifikace'!D53</f>
        <v>0</v>
      </c>
      <c r="BD121" s="36">
        <f>'Tabulka kvalifikace'!AD53</f>
        <v>0</v>
      </c>
      <c r="BF121" s="1">
        <f t="shared" si="26"/>
        <v>999</v>
      </c>
      <c r="BH121" s="1">
        <f t="shared" si="27"/>
        <v>999</v>
      </c>
      <c r="BK121" s="1" t="str">
        <f t="shared" si="28"/>
        <v/>
      </c>
      <c r="BL121" s="1" t="str">
        <f t="shared" si="29"/>
        <v/>
      </c>
      <c r="DM121" s="36">
        <f t="shared" si="42"/>
        <v>61</v>
      </c>
      <c r="DN121" s="36" t="str">
        <f>'Tabulka kvalifikace'!D68</f>
        <v/>
      </c>
      <c r="DV121" s="36"/>
      <c r="ED121" s="36">
        <f>'Tabulka kvalifikace'!AD68</f>
        <v>0</v>
      </c>
      <c r="EF121" s="36">
        <f t="shared" si="21"/>
        <v>99</v>
      </c>
      <c r="EH121" s="36">
        <f t="shared" si="22"/>
        <v>99</v>
      </c>
      <c r="EJ121" s="36" t="str">
        <f t="shared" si="23"/>
        <v/>
      </c>
      <c r="EK121" s="36" t="str">
        <f t="shared" si="24"/>
        <v/>
      </c>
      <c r="GA121" s="36" t="str">
        <f>'Tabulka kvalifikace'!DJ109</f>
        <v/>
      </c>
      <c r="GB121" s="36">
        <f>'Tabulka kvalifikace'!DL109</f>
        <v>0</v>
      </c>
      <c r="GC121" s="36">
        <f>'Tabulka kvalifikace'!DM109</f>
        <v>0</v>
      </c>
      <c r="GD121" s="36">
        <f>'Tabulka kvalifikace'!DS109</f>
        <v>0</v>
      </c>
      <c r="GE121" s="36">
        <f>'Tabulka kvalifikace'!DT109</f>
        <v>0</v>
      </c>
      <c r="GF121" s="36">
        <f>'Tabulka kvalifikace'!DU109</f>
        <v>0</v>
      </c>
      <c r="GG121" s="36">
        <f>IF(GA121="",0,('Tabulka kvalifikace'!DV109))</f>
        <v>0</v>
      </c>
      <c r="GH121" s="36">
        <f>'Tabulka kvalifikace'!DW109</f>
        <v>0</v>
      </c>
      <c r="GI121" s="149" t="str">
        <f>'Tabulka kvalifikace'!DR109</f>
        <v/>
      </c>
      <c r="GJ121" s="136">
        <f t="shared" si="45"/>
        <v>0</v>
      </c>
      <c r="GK121" s="138">
        <f t="shared" si="46"/>
        <v>0</v>
      </c>
      <c r="GL121" s="36">
        <f t="shared" si="47"/>
        <v>0</v>
      </c>
      <c r="GM121" s="36">
        <f t="shared" si="48"/>
        <v>0</v>
      </c>
      <c r="GN121" s="36">
        <f t="shared" si="49"/>
        <v>0</v>
      </c>
      <c r="GO121" s="36">
        <f t="shared" si="50"/>
        <v>0</v>
      </c>
      <c r="GP121" s="149">
        <f t="shared" si="51"/>
        <v>0</v>
      </c>
      <c r="GQ121" s="36">
        <f t="shared" si="52"/>
        <v>0</v>
      </c>
      <c r="GR121" s="138">
        <f t="shared" si="53"/>
        <v>29</v>
      </c>
      <c r="GS121" s="36">
        <f t="shared" si="54"/>
        <v>999</v>
      </c>
      <c r="GT121" s="36" t="str">
        <f t="shared" si="55"/>
        <v/>
      </c>
      <c r="GU121" s="36">
        <f t="shared" si="56"/>
        <v>0</v>
      </c>
      <c r="GV121" s="36">
        <f t="shared" si="57"/>
        <v>0</v>
      </c>
      <c r="GW121" s="36">
        <f t="shared" si="58"/>
        <v>0</v>
      </c>
      <c r="GX121" s="36">
        <f t="shared" si="59"/>
        <v>0</v>
      </c>
      <c r="GY121" s="36">
        <f t="shared" si="60"/>
        <v>0</v>
      </c>
      <c r="GZ121" s="36">
        <f t="shared" si="61"/>
        <v>0</v>
      </c>
      <c r="HA121" s="488">
        <f t="shared" si="62"/>
        <v>10000000000</v>
      </c>
      <c r="HB121" s="288"/>
      <c r="HC121" s="36">
        <f t="shared" si="63"/>
        <v>11</v>
      </c>
      <c r="HE121">
        <f t="shared" si="64"/>
        <v>10000000000</v>
      </c>
      <c r="HF121" s="36">
        <f t="shared" si="65"/>
        <v>11</v>
      </c>
      <c r="HG121" s="36">
        <f t="shared" si="66"/>
        <v>1</v>
      </c>
      <c r="HH121" s="36" t="str">
        <f t="shared" si="67"/>
        <v/>
      </c>
      <c r="HI121" s="36">
        <f t="shared" si="73"/>
        <v>29</v>
      </c>
      <c r="HJ121" s="36"/>
      <c r="HK121" s="36"/>
      <c r="HL121" s="36"/>
      <c r="HM121">
        <f t="shared" si="74"/>
        <v>20000</v>
      </c>
      <c r="HN121">
        <f t="shared" si="68"/>
        <v>20000</v>
      </c>
      <c r="HO121" s="36">
        <f t="shared" si="69"/>
        <v>5</v>
      </c>
      <c r="HP121" s="36" t="str">
        <f t="shared" si="75"/>
        <v/>
      </c>
      <c r="HQ121" s="36" t="str">
        <f t="shared" si="76"/>
        <v/>
      </c>
      <c r="HU121" s="36"/>
    </row>
    <row r="122" spans="51:229" hidden="1" x14ac:dyDescent="0.25">
      <c r="AY122" s="36">
        <f t="shared" si="72"/>
        <v>30</v>
      </c>
      <c r="AZ122" s="36">
        <f t="shared" si="44"/>
        <v>999</v>
      </c>
      <c r="BB122" s="36">
        <f t="shared" si="31"/>
        <v>47</v>
      </c>
      <c r="BC122" s="36" t="str">
        <f>'Tabulka kvalifikace'!D54</f>
        <v/>
      </c>
      <c r="BD122" s="36">
        <f>'Tabulka kvalifikace'!AD54</f>
        <v>0</v>
      </c>
      <c r="BF122" s="1">
        <f t="shared" si="26"/>
        <v>999</v>
      </c>
      <c r="BH122" s="1">
        <f t="shared" si="27"/>
        <v>999</v>
      </c>
      <c r="BK122" s="1" t="str">
        <f t="shared" si="28"/>
        <v/>
      </c>
      <c r="BL122" s="1" t="str">
        <f t="shared" si="29"/>
        <v/>
      </c>
      <c r="DM122" s="36">
        <f t="shared" si="42"/>
        <v>62</v>
      </c>
      <c r="DN122" s="36">
        <f>'Tabulka kvalifikace'!D69</f>
        <v>0</v>
      </c>
      <c r="DV122" s="36"/>
      <c r="ED122" s="36">
        <f>'Tabulka kvalifikace'!AD69</f>
        <v>0</v>
      </c>
      <c r="EF122" s="36">
        <f t="shared" si="21"/>
        <v>99</v>
      </c>
      <c r="EH122" s="36">
        <f t="shared" si="22"/>
        <v>99</v>
      </c>
      <c r="EJ122" s="36" t="str">
        <f t="shared" si="23"/>
        <v/>
      </c>
      <c r="EK122" s="36" t="str">
        <f t="shared" si="24"/>
        <v/>
      </c>
      <c r="GA122" s="36" t="str">
        <f>'Tabulka kvalifikace'!DJ110</f>
        <v/>
      </c>
      <c r="GB122" s="36">
        <f>'Tabulka kvalifikace'!DL110</f>
        <v>0</v>
      </c>
      <c r="GC122" s="36">
        <f>'Tabulka kvalifikace'!DM110</f>
        <v>0</v>
      </c>
      <c r="GD122" s="36">
        <f>'Tabulka kvalifikace'!DS110</f>
        <v>0</v>
      </c>
      <c r="GE122" s="36">
        <f>'Tabulka kvalifikace'!DT110</f>
        <v>0</v>
      </c>
      <c r="GF122" s="36">
        <f>'Tabulka kvalifikace'!DU110</f>
        <v>0</v>
      </c>
      <c r="GG122" s="36">
        <f>IF(GA122="",0,('Tabulka kvalifikace'!DV110))</f>
        <v>0</v>
      </c>
      <c r="GH122" s="36">
        <f>'Tabulka kvalifikace'!DW110</f>
        <v>0</v>
      </c>
      <c r="GI122" s="149" t="str">
        <f>'Tabulka kvalifikace'!DR110</f>
        <v/>
      </c>
      <c r="GJ122" s="136">
        <f t="shared" si="45"/>
        <v>0</v>
      </c>
      <c r="GK122" s="138">
        <f t="shared" si="46"/>
        <v>0</v>
      </c>
      <c r="GL122" s="36">
        <f t="shared" si="47"/>
        <v>0</v>
      </c>
      <c r="GM122" s="36">
        <f t="shared" si="48"/>
        <v>0</v>
      </c>
      <c r="GN122" s="36">
        <f t="shared" si="49"/>
        <v>0</v>
      </c>
      <c r="GO122" s="36">
        <f t="shared" si="50"/>
        <v>0</v>
      </c>
      <c r="GP122" s="149">
        <f t="shared" si="51"/>
        <v>0</v>
      </c>
      <c r="GQ122" s="36">
        <f t="shared" si="52"/>
        <v>0</v>
      </c>
      <c r="GR122" s="138">
        <f t="shared" si="53"/>
        <v>30</v>
      </c>
      <c r="GS122" s="36">
        <f t="shared" si="54"/>
        <v>999</v>
      </c>
      <c r="GT122" s="36" t="str">
        <f t="shared" si="55"/>
        <v/>
      </c>
      <c r="GU122" s="36">
        <f t="shared" si="56"/>
        <v>0</v>
      </c>
      <c r="GV122" s="36">
        <f t="shared" si="57"/>
        <v>0</v>
      </c>
      <c r="GW122" s="36">
        <f t="shared" si="58"/>
        <v>0</v>
      </c>
      <c r="GX122" s="36">
        <f t="shared" si="59"/>
        <v>0</v>
      </c>
      <c r="GY122" s="36">
        <f t="shared" si="60"/>
        <v>0</v>
      </c>
      <c r="GZ122" s="36">
        <f t="shared" si="61"/>
        <v>0</v>
      </c>
      <c r="HA122" s="488">
        <f t="shared" si="62"/>
        <v>10000000000</v>
      </c>
      <c r="HB122" s="288"/>
      <c r="HC122" s="36">
        <f t="shared" si="63"/>
        <v>11</v>
      </c>
      <c r="HE122">
        <f t="shared" si="64"/>
        <v>10000000000</v>
      </c>
      <c r="HF122" s="36">
        <f t="shared" si="65"/>
        <v>11</v>
      </c>
      <c r="HG122" s="36">
        <f t="shared" si="66"/>
        <v>1</v>
      </c>
      <c r="HH122" s="36" t="str">
        <f t="shared" si="67"/>
        <v/>
      </c>
      <c r="HI122" s="36">
        <f t="shared" si="73"/>
        <v>30</v>
      </c>
      <c r="HJ122" s="36"/>
      <c r="HK122" s="36"/>
      <c r="HL122" s="36"/>
      <c r="HM122">
        <f t="shared" si="74"/>
        <v>20000</v>
      </c>
      <c r="HN122">
        <f t="shared" si="68"/>
        <v>20000</v>
      </c>
      <c r="HO122" s="36">
        <f t="shared" si="69"/>
        <v>5</v>
      </c>
      <c r="HP122" s="36" t="str">
        <f t="shared" si="75"/>
        <v/>
      </c>
      <c r="HQ122" s="36" t="str">
        <f t="shared" si="76"/>
        <v/>
      </c>
      <c r="HU122" s="36"/>
    </row>
    <row r="123" spans="51:229" hidden="1" x14ac:dyDescent="0.25">
      <c r="AY123" s="36">
        <f t="shared" si="72"/>
        <v>31</v>
      </c>
      <c r="AZ123" s="36">
        <f t="shared" si="44"/>
        <v>999</v>
      </c>
      <c r="BB123" s="36">
        <f t="shared" si="31"/>
        <v>48</v>
      </c>
      <c r="BC123" s="36">
        <f>'Tabulka kvalifikace'!D55</f>
        <v>0</v>
      </c>
      <c r="BD123" s="36">
        <f>'Tabulka kvalifikace'!AD55</f>
        <v>0</v>
      </c>
      <c r="BF123" s="1">
        <f t="shared" si="26"/>
        <v>999</v>
      </c>
      <c r="BH123" s="1">
        <f t="shared" si="27"/>
        <v>999</v>
      </c>
      <c r="BK123" s="1" t="str">
        <f t="shared" si="28"/>
        <v/>
      </c>
      <c r="BL123" s="1" t="str">
        <f t="shared" si="29"/>
        <v/>
      </c>
      <c r="DM123" s="36">
        <f t="shared" si="42"/>
        <v>63</v>
      </c>
      <c r="DN123" s="36" t="str">
        <f>'Tabulka kvalifikace'!D70</f>
        <v/>
      </c>
      <c r="DV123" s="36"/>
      <c r="ED123" s="36">
        <f>'Tabulka kvalifikace'!AD70</f>
        <v>0</v>
      </c>
      <c r="EF123" s="36">
        <f t="shared" si="21"/>
        <v>99</v>
      </c>
      <c r="EH123" s="36">
        <f t="shared" si="22"/>
        <v>99</v>
      </c>
      <c r="EJ123" s="36" t="str">
        <f t="shared" si="23"/>
        <v/>
      </c>
      <c r="EK123" s="36" t="str">
        <f t="shared" si="24"/>
        <v/>
      </c>
      <c r="GA123" s="36" t="str">
        <f>'Tabulka kvalifikace'!DJ111</f>
        <v/>
      </c>
      <c r="GB123" s="36">
        <f>'Tabulka kvalifikace'!DL111</f>
        <v>0</v>
      </c>
      <c r="GC123" s="36">
        <f>'Tabulka kvalifikace'!DM111</f>
        <v>0</v>
      </c>
      <c r="GD123" s="36">
        <f>'Tabulka kvalifikace'!DS111</f>
        <v>0</v>
      </c>
      <c r="GE123" s="36">
        <f>'Tabulka kvalifikace'!DT111</f>
        <v>0</v>
      </c>
      <c r="GF123" s="36">
        <f>'Tabulka kvalifikace'!DU111</f>
        <v>0</v>
      </c>
      <c r="GG123" s="36">
        <f>IF(GA123="",0,('Tabulka kvalifikace'!DV111))</f>
        <v>0</v>
      </c>
      <c r="GH123" s="36">
        <f>'Tabulka kvalifikace'!DW111</f>
        <v>0</v>
      </c>
      <c r="GI123" s="149" t="str">
        <f>'Tabulka kvalifikace'!DR111</f>
        <v/>
      </c>
      <c r="GJ123" s="136">
        <f t="shared" si="45"/>
        <v>0</v>
      </c>
      <c r="GK123" s="138">
        <f t="shared" si="46"/>
        <v>0</v>
      </c>
      <c r="GL123" s="36">
        <f t="shared" si="47"/>
        <v>0</v>
      </c>
      <c r="GM123" s="36">
        <f t="shared" si="48"/>
        <v>0</v>
      </c>
      <c r="GN123" s="36">
        <f t="shared" si="49"/>
        <v>0</v>
      </c>
      <c r="GO123" s="36">
        <f t="shared" si="50"/>
        <v>0</v>
      </c>
      <c r="GP123" s="149">
        <f t="shared" si="51"/>
        <v>0</v>
      </c>
      <c r="GQ123" s="36">
        <f t="shared" si="52"/>
        <v>0</v>
      </c>
      <c r="GR123" s="138">
        <f t="shared" si="53"/>
        <v>31</v>
      </c>
      <c r="GS123" s="36">
        <f t="shared" si="54"/>
        <v>999</v>
      </c>
      <c r="GT123" s="36" t="str">
        <f t="shared" si="55"/>
        <v/>
      </c>
      <c r="GU123" s="36">
        <f t="shared" si="56"/>
        <v>0</v>
      </c>
      <c r="GV123" s="36">
        <f t="shared" si="57"/>
        <v>0</v>
      </c>
      <c r="GW123" s="36">
        <f t="shared" si="58"/>
        <v>0</v>
      </c>
      <c r="GX123" s="36">
        <f t="shared" si="59"/>
        <v>0</v>
      </c>
      <c r="GY123" s="36">
        <f t="shared" si="60"/>
        <v>0</v>
      </c>
      <c r="GZ123" s="36">
        <f t="shared" si="61"/>
        <v>0</v>
      </c>
      <c r="HA123" s="488">
        <f t="shared" si="62"/>
        <v>10000000000</v>
      </c>
      <c r="HB123" s="288"/>
      <c r="HC123" s="36">
        <f t="shared" si="63"/>
        <v>11</v>
      </c>
      <c r="HE123">
        <f t="shared" si="64"/>
        <v>10000000000</v>
      </c>
      <c r="HF123" s="36">
        <f t="shared" si="65"/>
        <v>11</v>
      </c>
      <c r="HG123" s="36">
        <f t="shared" si="66"/>
        <v>1</v>
      </c>
      <c r="HH123" s="36" t="str">
        <f t="shared" si="67"/>
        <v/>
      </c>
      <c r="HI123" s="36">
        <f t="shared" si="73"/>
        <v>31</v>
      </c>
      <c r="HJ123" s="36"/>
      <c r="HK123" s="36"/>
      <c r="HL123" s="36"/>
      <c r="HM123">
        <f t="shared" si="74"/>
        <v>20000</v>
      </c>
      <c r="HN123">
        <f t="shared" si="68"/>
        <v>20000</v>
      </c>
      <c r="HO123" s="36">
        <f t="shared" si="69"/>
        <v>5</v>
      </c>
      <c r="HP123" s="36" t="str">
        <f t="shared" si="75"/>
        <v/>
      </c>
      <c r="HQ123" s="36" t="str">
        <f t="shared" si="76"/>
        <v/>
      </c>
      <c r="HU123" s="36"/>
    </row>
    <row r="124" spans="51:229" hidden="1" x14ac:dyDescent="0.25">
      <c r="AY124" s="36">
        <f t="shared" si="72"/>
        <v>32</v>
      </c>
      <c r="AZ124" s="36">
        <f t="shared" si="44"/>
        <v>999</v>
      </c>
      <c r="BB124" s="36">
        <f t="shared" si="31"/>
        <v>49</v>
      </c>
      <c r="BC124" s="36" t="str">
        <f>'Tabulka kvalifikace'!D56</f>
        <v/>
      </c>
      <c r="BD124" s="36">
        <f>'Tabulka kvalifikace'!AD56</f>
        <v>0</v>
      </c>
      <c r="BF124" s="1">
        <f t="shared" si="26"/>
        <v>999</v>
      </c>
      <c r="BH124" s="1">
        <f t="shared" si="27"/>
        <v>999</v>
      </c>
      <c r="BK124" s="1" t="str">
        <f t="shared" si="28"/>
        <v/>
      </c>
      <c r="BL124" s="1" t="str">
        <f t="shared" si="29"/>
        <v/>
      </c>
      <c r="DM124" s="36">
        <f t="shared" si="42"/>
        <v>64</v>
      </c>
      <c r="DN124" s="36">
        <f>'Tabulka kvalifikace'!D71</f>
        <v>0</v>
      </c>
      <c r="DV124" s="36"/>
      <c r="ED124" s="36">
        <f>'Tabulka kvalifikace'!AD71</f>
        <v>0</v>
      </c>
      <c r="EF124" s="36">
        <f t="shared" si="21"/>
        <v>99</v>
      </c>
      <c r="EH124" s="36">
        <f t="shared" si="22"/>
        <v>99</v>
      </c>
      <c r="EJ124" s="36" t="str">
        <f t="shared" si="23"/>
        <v/>
      </c>
      <c r="EK124" s="36" t="str">
        <f t="shared" si="24"/>
        <v/>
      </c>
      <c r="GA124" s="36" t="str">
        <f>'Tabulka kvalifikace'!DJ112</f>
        <v/>
      </c>
      <c r="GB124" s="36">
        <f>'Tabulka kvalifikace'!DL112</f>
        <v>0</v>
      </c>
      <c r="GC124" s="36">
        <f>'Tabulka kvalifikace'!DM112</f>
        <v>0</v>
      </c>
      <c r="GD124" s="36">
        <f>'Tabulka kvalifikace'!DS112</f>
        <v>0</v>
      </c>
      <c r="GE124" s="36">
        <f>'Tabulka kvalifikace'!DT112</f>
        <v>0</v>
      </c>
      <c r="GF124" s="36">
        <f>'Tabulka kvalifikace'!DU112</f>
        <v>0</v>
      </c>
      <c r="GG124" s="36">
        <f>IF(GA124="",0,('Tabulka kvalifikace'!DV112))</f>
        <v>0</v>
      </c>
      <c r="GH124" s="36">
        <f>'Tabulka kvalifikace'!DW112</f>
        <v>0</v>
      </c>
      <c r="GI124" s="149" t="str">
        <f>'Tabulka kvalifikace'!DR112</f>
        <v/>
      </c>
      <c r="GJ124" s="136">
        <f t="shared" si="45"/>
        <v>0</v>
      </c>
      <c r="GK124" s="138">
        <f t="shared" si="46"/>
        <v>0</v>
      </c>
      <c r="GL124" s="36">
        <f t="shared" si="47"/>
        <v>0</v>
      </c>
      <c r="GM124" s="36">
        <f t="shared" si="48"/>
        <v>0</v>
      </c>
      <c r="GN124" s="36">
        <f t="shared" si="49"/>
        <v>0</v>
      </c>
      <c r="GO124" s="36">
        <f t="shared" si="50"/>
        <v>0</v>
      </c>
      <c r="GP124" s="149">
        <f t="shared" si="51"/>
        <v>0</v>
      </c>
      <c r="GQ124" s="36">
        <f t="shared" si="52"/>
        <v>0</v>
      </c>
      <c r="GR124" s="138">
        <f t="shared" si="53"/>
        <v>32</v>
      </c>
      <c r="GS124" s="36">
        <f t="shared" si="54"/>
        <v>999</v>
      </c>
      <c r="GT124" s="36" t="str">
        <f t="shared" si="55"/>
        <v/>
      </c>
      <c r="GU124" s="36">
        <f t="shared" si="56"/>
        <v>0</v>
      </c>
      <c r="GV124" s="36">
        <f t="shared" si="57"/>
        <v>0</v>
      </c>
      <c r="GW124" s="36">
        <f t="shared" si="58"/>
        <v>0</v>
      </c>
      <c r="GX124" s="36">
        <f t="shared" si="59"/>
        <v>0</v>
      </c>
      <c r="GY124" s="36">
        <f t="shared" si="60"/>
        <v>0</v>
      </c>
      <c r="GZ124" s="36">
        <f t="shared" si="61"/>
        <v>0</v>
      </c>
      <c r="HA124" s="488">
        <f t="shared" si="62"/>
        <v>10000000000</v>
      </c>
      <c r="HB124" s="288"/>
      <c r="HC124" s="36">
        <f t="shared" si="63"/>
        <v>11</v>
      </c>
      <c r="HE124">
        <f t="shared" si="64"/>
        <v>10000000000</v>
      </c>
      <c r="HF124" s="36">
        <f t="shared" si="65"/>
        <v>11</v>
      </c>
      <c r="HG124" s="36">
        <f t="shared" si="66"/>
        <v>1</v>
      </c>
      <c r="HH124" s="36" t="str">
        <f t="shared" si="67"/>
        <v/>
      </c>
      <c r="HI124" s="36">
        <f t="shared" si="73"/>
        <v>32</v>
      </c>
      <c r="HJ124" s="36"/>
      <c r="HK124" s="36"/>
      <c r="HL124" s="36"/>
      <c r="HM124">
        <f t="shared" si="74"/>
        <v>20000</v>
      </c>
      <c r="HN124">
        <f t="shared" si="68"/>
        <v>20000</v>
      </c>
      <c r="HO124" s="36">
        <f t="shared" si="69"/>
        <v>5</v>
      </c>
      <c r="HP124" s="36" t="str">
        <f t="shared" si="75"/>
        <v/>
      </c>
      <c r="HQ124" s="36" t="str">
        <f t="shared" si="76"/>
        <v/>
      </c>
      <c r="HU124" s="36"/>
    </row>
    <row r="125" spans="51:229" hidden="1" x14ac:dyDescent="0.25">
      <c r="BB125" s="36">
        <f t="shared" si="31"/>
        <v>50</v>
      </c>
      <c r="BC125" s="36">
        <f>'Tabulka kvalifikace'!D57</f>
        <v>0</v>
      </c>
      <c r="BD125" s="36">
        <f>'Tabulka kvalifikace'!AD57</f>
        <v>0</v>
      </c>
      <c r="BF125" s="1">
        <f t="shared" si="26"/>
        <v>999</v>
      </c>
      <c r="BH125" s="1">
        <f t="shared" si="27"/>
        <v>999</v>
      </c>
      <c r="BK125" s="1" t="str">
        <f t="shared" si="28"/>
        <v/>
      </c>
      <c r="BL125" s="1" t="str">
        <f t="shared" si="29"/>
        <v/>
      </c>
      <c r="DV125" s="36"/>
    </row>
    <row r="126" spans="51:229" hidden="1" x14ac:dyDescent="0.25">
      <c r="BB126" s="36">
        <f t="shared" si="31"/>
        <v>51</v>
      </c>
      <c r="BC126" s="36" t="str">
        <f>'Tabulka kvalifikace'!D58</f>
        <v/>
      </c>
      <c r="BD126" s="36">
        <f>'Tabulka kvalifikace'!AD58</f>
        <v>0</v>
      </c>
      <c r="BF126" s="1">
        <f t="shared" si="26"/>
        <v>999</v>
      </c>
      <c r="BH126" s="1">
        <f t="shared" si="27"/>
        <v>999</v>
      </c>
      <c r="BK126" s="1" t="str">
        <f t="shared" si="28"/>
        <v/>
      </c>
      <c r="BL126" s="1" t="str">
        <f t="shared" si="29"/>
        <v/>
      </c>
      <c r="DV126" s="36"/>
    </row>
    <row r="127" spans="51:229" hidden="1" x14ac:dyDescent="0.25">
      <c r="BB127" s="36">
        <f t="shared" si="31"/>
        <v>52</v>
      </c>
      <c r="BC127" s="36">
        <f>'Tabulka kvalifikace'!D59</f>
        <v>0</v>
      </c>
      <c r="BD127" s="36">
        <f>'Tabulka kvalifikace'!AD59</f>
        <v>0</v>
      </c>
      <c r="BF127" s="1">
        <f t="shared" si="26"/>
        <v>999</v>
      </c>
      <c r="BH127" s="1">
        <f t="shared" si="27"/>
        <v>999</v>
      </c>
      <c r="BK127" s="1" t="str">
        <f t="shared" si="28"/>
        <v/>
      </c>
      <c r="BL127" s="1" t="str">
        <f t="shared" si="29"/>
        <v/>
      </c>
      <c r="DV127" s="36"/>
    </row>
    <row r="128" spans="51:229" hidden="1" x14ac:dyDescent="0.25">
      <c r="BB128" s="36">
        <f t="shared" si="31"/>
        <v>53</v>
      </c>
      <c r="BC128" s="36" t="str">
        <f>'Tabulka kvalifikace'!D60</f>
        <v/>
      </c>
      <c r="BD128" s="36">
        <f>'Tabulka kvalifikace'!AD60</f>
        <v>0</v>
      </c>
      <c r="BF128" s="1">
        <f t="shared" si="26"/>
        <v>999</v>
      </c>
      <c r="BH128" s="1">
        <f t="shared" si="27"/>
        <v>999</v>
      </c>
      <c r="BK128" s="1" t="str">
        <f t="shared" si="28"/>
        <v/>
      </c>
      <c r="BL128" s="1" t="str">
        <f t="shared" si="29"/>
        <v/>
      </c>
      <c r="DV128" s="36"/>
    </row>
    <row r="129" spans="52:126" hidden="1" x14ac:dyDescent="0.25">
      <c r="BB129" s="36">
        <f t="shared" si="31"/>
        <v>54</v>
      </c>
      <c r="BC129" s="36">
        <f>'Tabulka kvalifikace'!D61</f>
        <v>0</v>
      </c>
      <c r="BD129" s="36">
        <f>'Tabulka kvalifikace'!AD61</f>
        <v>0</v>
      </c>
      <c r="BF129" s="1">
        <f t="shared" si="26"/>
        <v>999</v>
      </c>
      <c r="BH129" s="1">
        <f t="shared" si="27"/>
        <v>999</v>
      </c>
      <c r="BK129" s="1" t="str">
        <f t="shared" si="28"/>
        <v/>
      </c>
      <c r="BL129" s="1" t="str">
        <f t="shared" si="29"/>
        <v/>
      </c>
      <c r="DV129" s="36"/>
    </row>
    <row r="130" spans="52:126" hidden="1" x14ac:dyDescent="0.25">
      <c r="BB130" s="36">
        <f t="shared" si="31"/>
        <v>55</v>
      </c>
      <c r="BC130" s="36" t="str">
        <f>'Tabulka kvalifikace'!D62</f>
        <v/>
      </c>
      <c r="BD130" s="36">
        <f>'Tabulka kvalifikace'!AD62</f>
        <v>0</v>
      </c>
      <c r="BF130" s="1">
        <f t="shared" si="26"/>
        <v>999</v>
      </c>
      <c r="BH130" s="1">
        <f t="shared" si="27"/>
        <v>999</v>
      </c>
      <c r="BK130" s="1" t="str">
        <f t="shared" si="28"/>
        <v/>
      </c>
      <c r="BL130" s="1" t="str">
        <f t="shared" si="29"/>
        <v/>
      </c>
    </row>
    <row r="131" spans="52:126" hidden="1" x14ac:dyDescent="0.25">
      <c r="BB131" s="36">
        <f t="shared" si="31"/>
        <v>56</v>
      </c>
      <c r="BC131" s="36">
        <f>'Tabulka kvalifikace'!D63</f>
        <v>0</v>
      </c>
      <c r="BD131" s="36">
        <f>'Tabulka kvalifikace'!AD63</f>
        <v>0</v>
      </c>
      <c r="BF131" s="1">
        <f t="shared" si="26"/>
        <v>999</v>
      </c>
      <c r="BH131" s="1">
        <f t="shared" si="27"/>
        <v>999</v>
      </c>
      <c r="BK131" s="1" t="str">
        <f t="shared" si="28"/>
        <v/>
      </c>
      <c r="BL131" s="1" t="str">
        <f t="shared" si="29"/>
        <v/>
      </c>
    </row>
    <row r="132" spans="52:126" hidden="1" x14ac:dyDescent="0.25">
      <c r="BB132" s="36">
        <f t="shared" si="31"/>
        <v>57</v>
      </c>
      <c r="BC132" s="36" t="str">
        <f>'Tabulka kvalifikace'!D64</f>
        <v/>
      </c>
      <c r="BD132" s="36">
        <f>'Tabulka kvalifikace'!AD64</f>
        <v>0</v>
      </c>
      <c r="BF132" s="1">
        <f t="shared" si="26"/>
        <v>999</v>
      </c>
      <c r="BH132" s="1">
        <f t="shared" si="27"/>
        <v>999</v>
      </c>
      <c r="BK132" s="1" t="str">
        <f t="shared" si="28"/>
        <v/>
      </c>
      <c r="BL132" s="1" t="str">
        <f t="shared" si="29"/>
        <v/>
      </c>
    </row>
    <row r="133" spans="52:126" hidden="1" x14ac:dyDescent="0.25">
      <c r="BB133" s="36">
        <f t="shared" si="31"/>
        <v>58</v>
      </c>
      <c r="BC133" s="36">
        <f>'Tabulka kvalifikace'!D65</f>
        <v>0</v>
      </c>
      <c r="BD133" s="36">
        <f>'Tabulka kvalifikace'!AD65</f>
        <v>0</v>
      </c>
      <c r="BF133" s="1">
        <f t="shared" si="26"/>
        <v>999</v>
      </c>
      <c r="BH133" s="1">
        <f t="shared" si="27"/>
        <v>999</v>
      </c>
      <c r="BK133" s="1" t="str">
        <f t="shared" si="28"/>
        <v/>
      </c>
      <c r="BL133" s="1" t="str">
        <f t="shared" si="29"/>
        <v/>
      </c>
    </row>
    <row r="134" spans="52:126" hidden="1" x14ac:dyDescent="0.25">
      <c r="BB134" s="36">
        <f t="shared" si="31"/>
        <v>59</v>
      </c>
      <c r="BC134" s="36" t="str">
        <f>'Tabulka kvalifikace'!D66</f>
        <v/>
      </c>
      <c r="BD134" s="36">
        <f>'Tabulka kvalifikace'!AD66</f>
        <v>0</v>
      </c>
      <c r="BF134" s="1">
        <f t="shared" si="26"/>
        <v>999</v>
      </c>
      <c r="BH134" s="1">
        <f t="shared" si="27"/>
        <v>999</v>
      </c>
      <c r="BK134" s="1" t="str">
        <f t="shared" si="28"/>
        <v/>
      </c>
      <c r="BL134" s="1" t="str">
        <f t="shared" si="29"/>
        <v/>
      </c>
    </row>
    <row r="135" spans="52:126" hidden="1" x14ac:dyDescent="0.25">
      <c r="BB135" s="36">
        <f t="shared" si="31"/>
        <v>60</v>
      </c>
      <c r="BC135" s="36">
        <f>'Tabulka kvalifikace'!D67</f>
        <v>0</v>
      </c>
      <c r="BD135" s="36">
        <f>'Tabulka kvalifikace'!AD67</f>
        <v>0</v>
      </c>
      <c r="BF135" s="1">
        <f t="shared" si="26"/>
        <v>999</v>
      </c>
      <c r="BH135" s="1">
        <f t="shared" si="27"/>
        <v>999</v>
      </c>
      <c r="BK135" s="1" t="str">
        <f t="shared" si="28"/>
        <v/>
      </c>
      <c r="BL135" s="1" t="str">
        <f t="shared" si="29"/>
        <v/>
      </c>
    </row>
    <row r="136" spans="52:126" hidden="1" x14ac:dyDescent="0.25">
      <c r="BB136" s="36">
        <f t="shared" si="31"/>
        <v>61</v>
      </c>
      <c r="BC136" s="36" t="str">
        <f>'Tabulka kvalifikace'!D68</f>
        <v/>
      </c>
      <c r="BD136" s="36">
        <f>'Tabulka kvalifikace'!AD68</f>
        <v>0</v>
      </c>
      <c r="BF136" s="1">
        <f t="shared" si="26"/>
        <v>999</v>
      </c>
      <c r="BH136" s="1">
        <f t="shared" si="27"/>
        <v>999</v>
      </c>
      <c r="BK136" s="1" t="str">
        <f t="shared" si="28"/>
        <v/>
      </c>
      <c r="BL136" s="1" t="str">
        <f t="shared" si="29"/>
        <v/>
      </c>
    </row>
    <row r="137" spans="52:126" hidden="1" x14ac:dyDescent="0.25">
      <c r="BB137" s="36">
        <f t="shared" si="31"/>
        <v>62</v>
      </c>
      <c r="BC137" s="36">
        <f>'Tabulka kvalifikace'!D69</f>
        <v>0</v>
      </c>
      <c r="BD137" s="36">
        <f>'Tabulka kvalifikace'!AD69</f>
        <v>0</v>
      </c>
      <c r="BF137" s="1">
        <f t="shared" si="26"/>
        <v>999</v>
      </c>
      <c r="BH137" s="1">
        <f t="shared" si="27"/>
        <v>999</v>
      </c>
      <c r="BK137" s="1" t="str">
        <f t="shared" si="28"/>
        <v/>
      </c>
      <c r="BL137" s="1" t="str">
        <f t="shared" si="29"/>
        <v/>
      </c>
    </row>
    <row r="138" spans="52:126" hidden="1" x14ac:dyDescent="0.25">
      <c r="BB138" s="36">
        <f t="shared" si="31"/>
        <v>63</v>
      </c>
      <c r="BC138" s="36" t="str">
        <f>'Tabulka kvalifikace'!D70</f>
        <v/>
      </c>
      <c r="BD138" s="36">
        <f>'Tabulka kvalifikace'!AD70</f>
        <v>0</v>
      </c>
      <c r="BF138" s="1">
        <f t="shared" si="26"/>
        <v>999</v>
      </c>
      <c r="BH138" s="1">
        <f t="shared" si="27"/>
        <v>999</v>
      </c>
      <c r="BK138" s="1" t="str">
        <f t="shared" si="28"/>
        <v/>
      </c>
      <c r="BL138" s="1" t="str">
        <f t="shared" si="29"/>
        <v/>
      </c>
    </row>
    <row r="139" spans="52:126" hidden="1" x14ac:dyDescent="0.25">
      <c r="BB139" s="36">
        <f t="shared" si="31"/>
        <v>64</v>
      </c>
      <c r="BC139" s="36">
        <f>'Tabulka kvalifikace'!D71</f>
        <v>0</v>
      </c>
      <c r="BD139" s="36">
        <f>'Tabulka kvalifikace'!AD71</f>
        <v>0</v>
      </c>
      <c r="BF139" s="1">
        <f t="shared" si="26"/>
        <v>999</v>
      </c>
      <c r="BH139" s="1">
        <f t="shared" si="27"/>
        <v>999</v>
      </c>
      <c r="BK139" s="1" t="str">
        <f t="shared" si="28"/>
        <v/>
      </c>
      <c r="BL139" s="1" t="str">
        <f t="shared" si="29"/>
        <v/>
      </c>
    </row>
    <row r="140" spans="52:126" hidden="1" x14ac:dyDescent="0.25"/>
    <row r="141" spans="52:126" hidden="1" x14ac:dyDescent="0.25"/>
    <row r="142" spans="52:126" hidden="1" x14ac:dyDescent="0.25"/>
    <row r="143" spans="52:126" hidden="1" x14ac:dyDescent="0.25"/>
    <row r="144" spans="52:126" hidden="1" x14ac:dyDescent="0.25">
      <c r="AZ144" s="36" t="s">
        <v>3</v>
      </c>
      <c r="BA144" s="36">
        <f>BG62</f>
        <v>0</v>
      </c>
    </row>
    <row r="145" spans="52:117" hidden="1" x14ac:dyDescent="0.25"/>
    <row r="146" spans="52:117" hidden="1" x14ac:dyDescent="0.25">
      <c r="BB146" s="36">
        <v>0</v>
      </c>
      <c r="BC146" s="36">
        <f>BB146+1</f>
        <v>1</v>
      </c>
      <c r="BD146" s="36">
        <f t="shared" ref="BD146:DM146" si="77">BC146+1</f>
        <v>2</v>
      </c>
      <c r="BE146" s="36">
        <f t="shared" si="77"/>
        <v>3</v>
      </c>
      <c r="BF146" s="36">
        <f t="shared" si="77"/>
        <v>4</v>
      </c>
      <c r="BG146" s="36">
        <f t="shared" si="77"/>
        <v>5</v>
      </c>
      <c r="BH146" s="36">
        <f t="shared" si="77"/>
        <v>6</v>
      </c>
      <c r="BI146" s="36">
        <f t="shared" si="77"/>
        <v>7</v>
      </c>
      <c r="BJ146" s="36">
        <f t="shared" si="77"/>
        <v>8</v>
      </c>
      <c r="BK146" s="36">
        <f t="shared" si="77"/>
        <v>9</v>
      </c>
      <c r="BL146" s="36">
        <f t="shared" si="77"/>
        <v>10</v>
      </c>
      <c r="BM146" s="36">
        <f t="shared" si="77"/>
        <v>11</v>
      </c>
      <c r="BN146" s="36">
        <f t="shared" si="77"/>
        <v>12</v>
      </c>
      <c r="BO146" s="36">
        <f t="shared" si="77"/>
        <v>13</v>
      </c>
      <c r="BP146" s="36">
        <f t="shared" si="77"/>
        <v>14</v>
      </c>
      <c r="BQ146" s="36">
        <f t="shared" si="77"/>
        <v>15</v>
      </c>
      <c r="BR146" s="36">
        <f t="shared" si="77"/>
        <v>16</v>
      </c>
      <c r="BS146" s="36">
        <f t="shared" si="77"/>
        <v>17</v>
      </c>
      <c r="BT146" s="36">
        <f t="shared" si="77"/>
        <v>18</v>
      </c>
      <c r="BU146" s="36">
        <f t="shared" si="77"/>
        <v>19</v>
      </c>
      <c r="BV146" s="36">
        <f t="shared" si="77"/>
        <v>20</v>
      </c>
      <c r="BW146" s="36">
        <f t="shared" si="77"/>
        <v>21</v>
      </c>
      <c r="BX146" s="36">
        <f t="shared" si="77"/>
        <v>22</v>
      </c>
      <c r="BY146" s="36">
        <f t="shared" si="77"/>
        <v>23</v>
      </c>
      <c r="BZ146" s="36">
        <f t="shared" si="77"/>
        <v>24</v>
      </c>
      <c r="CA146" s="36">
        <f t="shared" si="77"/>
        <v>25</v>
      </c>
      <c r="CB146" s="36">
        <f t="shared" si="77"/>
        <v>26</v>
      </c>
      <c r="CC146" s="36">
        <f t="shared" si="77"/>
        <v>27</v>
      </c>
      <c r="CD146" s="36">
        <f t="shared" si="77"/>
        <v>28</v>
      </c>
      <c r="CE146" s="36">
        <f t="shared" si="77"/>
        <v>29</v>
      </c>
      <c r="CF146" s="36">
        <f t="shared" si="77"/>
        <v>30</v>
      </c>
      <c r="CG146" s="36">
        <f t="shared" si="77"/>
        <v>31</v>
      </c>
      <c r="CH146" s="36">
        <f t="shared" si="77"/>
        <v>32</v>
      </c>
      <c r="CI146" s="36">
        <f t="shared" si="77"/>
        <v>33</v>
      </c>
      <c r="CJ146" s="36">
        <f t="shared" si="77"/>
        <v>34</v>
      </c>
      <c r="CK146" s="36">
        <f t="shared" si="77"/>
        <v>35</v>
      </c>
      <c r="CL146" s="36">
        <f t="shared" si="77"/>
        <v>36</v>
      </c>
      <c r="CM146" s="36">
        <f t="shared" si="77"/>
        <v>37</v>
      </c>
      <c r="CN146" s="36">
        <f t="shared" si="77"/>
        <v>38</v>
      </c>
      <c r="CO146" s="36">
        <f t="shared" si="77"/>
        <v>39</v>
      </c>
      <c r="CP146" s="36">
        <f t="shared" si="77"/>
        <v>40</v>
      </c>
      <c r="CQ146" s="36">
        <f t="shared" si="77"/>
        <v>41</v>
      </c>
      <c r="CR146" s="36">
        <f t="shared" si="77"/>
        <v>42</v>
      </c>
      <c r="CS146" s="127">
        <f t="shared" si="77"/>
        <v>43</v>
      </c>
      <c r="CT146" s="36">
        <f t="shared" si="77"/>
        <v>44</v>
      </c>
      <c r="CU146" s="127">
        <f t="shared" si="77"/>
        <v>45</v>
      </c>
      <c r="CV146" s="36">
        <f t="shared" si="77"/>
        <v>46</v>
      </c>
      <c r="CW146" s="36">
        <f t="shared" si="77"/>
        <v>47</v>
      </c>
      <c r="CX146" s="36">
        <f t="shared" si="77"/>
        <v>48</v>
      </c>
      <c r="CY146" s="36">
        <f t="shared" si="77"/>
        <v>49</v>
      </c>
      <c r="CZ146" s="36">
        <f t="shared" si="77"/>
        <v>50</v>
      </c>
      <c r="DA146" s="36">
        <f t="shared" si="77"/>
        <v>51</v>
      </c>
      <c r="DB146" s="36">
        <f t="shared" si="77"/>
        <v>52</v>
      </c>
      <c r="DC146" s="36">
        <f t="shared" si="77"/>
        <v>53</v>
      </c>
      <c r="DD146" s="36">
        <f t="shared" si="77"/>
        <v>54</v>
      </c>
      <c r="DE146" s="36">
        <f t="shared" si="77"/>
        <v>55</v>
      </c>
      <c r="DF146" s="36">
        <f t="shared" si="77"/>
        <v>56</v>
      </c>
      <c r="DG146" s="36">
        <f t="shared" si="77"/>
        <v>57</v>
      </c>
      <c r="DH146" s="36">
        <f t="shared" si="77"/>
        <v>58</v>
      </c>
      <c r="DI146" s="36">
        <f t="shared" si="77"/>
        <v>59</v>
      </c>
      <c r="DJ146" s="36">
        <f t="shared" si="77"/>
        <v>60</v>
      </c>
      <c r="DK146" s="36">
        <f t="shared" si="77"/>
        <v>61</v>
      </c>
      <c r="DL146" s="36">
        <f t="shared" si="77"/>
        <v>62</v>
      </c>
      <c r="DM146" s="36">
        <f t="shared" si="77"/>
        <v>63</v>
      </c>
    </row>
    <row r="147" spans="52:117" hidden="1" x14ac:dyDescent="0.25"/>
    <row r="148" spans="52:117" hidden="1" x14ac:dyDescent="0.25">
      <c r="AZ148" s="36">
        <f>INDEX($BB$148:$DM$148,1,$BA$144+1)</f>
        <v>6</v>
      </c>
      <c r="BA148" s="36">
        <v>1</v>
      </c>
      <c r="BB148" s="140">
        <v>6</v>
      </c>
      <c r="BC148" s="85">
        <v>5</v>
      </c>
      <c r="BD148" s="85">
        <v>5</v>
      </c>
      <c r="BE148" s="85">
        <v>5</v>
      </c>
      <c r="BF148" s="85">
        <v>5</v>
      </c>
      <c r="BG148" s="260">
        <v>4</v>
      </c>
      <c r="BH148" s="260">
        <v>4</v>
      </c>
      <c r="BI148" s="260">
        <v>4</v>
      </c>
      <c r="BJ148" s="260">
        <v>5</v>
      </c>
      <c r="BK148" s="260">
        <v>4</v>
      </c>
      <c r="BL148" s="260">
        <v>4</v>
      </c>
      <c r="BM148" s="260">
        <v>4</v>
      </c>
      <c r="BN148" s="260">
        <v>4</v>
      </c>
      <c r="BO148" s="85">
        <v>4</v>
      </c>
      <c r="BP148" s="85">
        <v>4</v>
      </c>
      <c r="BQ148" s="85">
        <v>4</v>
      </c>
      <c r="BR148" s="85">
        <v>5</v>
      </c>
      <c r="BS148" s="85">
        <v>4</v>
      </c>
      <c r="BT148" s="85">
        <v>4</v>
      </c>
      <c r="BU148" s="85"/>
      <c r="BV148" s="85">
        <v>4</v>
      </c>
      <c r="BW148" s="260">
        <v>3</v>
      </c>
      <c r="BX148" s="260">
        <v>3</v>
      </c>
      <c r="BY148" s="260"/>
      <c r="BZ148" s="260">
        <v>4</v>
      </c>
      <c r="CA148" s="260">
        <v>3</v>
      </c>
      <c r="CB148" s="260">
        <v>3</v>
      </c>
      <c r="CC148" s="260"/>
      <c r="CD148" s="260">
        <v>3</v>
      </c>
      <c r="CE148" s="85">
        <v>2</v>
      </c>
      <c r="CF148" s="85">
        <v>2</v>
      </c>
      <c r="CG148" s="85"/>
      <c r="CH148" s="85">
        <v>5</v>
      </c>
      <c r="CI148" s="85">
        <v>4</v>
      </c>
      <c r="CJ148" s="85">
        <v>4</v>
      </c>
      <c r="CK148" s="85"/>
      <c r="CL148" s="85">
        <v>4</v>
      </c>
      <c r="CM148" s="85">
        <v>3</v>
      </c>
      <c r="CN148" s="85">
        <v>3</v>
      </c>
      <c r="CO148" s="264"/>
      <c r="CP148" s="264">
        <v>4</v>
      </c>
      <c r="CQ148" s="85">
        <v>3</v>
      </c>
      <c r="CR148" s="85">
        <v>3</v>
      </c>
      <c r="CS148" s="281"/>
      <c r="CT148" s="85">
        <v>3</v>
      </c>
      <c r="CU148" s="281">
        <v>2</v>
      </c>
      <c r="CV148" s="85">
        <v>2</v>
      </c>
      <c r="CW148" s="85"/>
      <c r="CX148" s="85">
        <v>4</v>
      </c>
      <c r="CY148" s="85">
        <v>3</v>
      </c>
      <c r="CZ148" s="85">
        <v>3</v>
      </c>
      <c r="DA148" s="85"/>
      <c r="DB148" s="85">
        <v>3</v>
      </c>
      <c r="DC148" s="85">
        <v>2</v>
      </c>
      <c r="DD148" s="85">
        <v>2</v>
      </c>
      <c r="DE148" s="85"/>
      <c r="DF148" s="85">
        <v>3</v>
      </c>
      <c r="DG148" s="85">
        <v>2</v>
      </c>
      <c r="DH148" s="85">
        <v>2</v>
      </c>
      <c r="DI148" s="265"/>
      <c r="DJ148" s="85">
        <v>2</v>
      </c>
      <c r="DK148" s="85">
        <v>1</v>
      </c>
      <c r="DL148" s="85">
        <v>1</v>
      </c>
      <c r="DM148" s="141"/>
    </row>
    <row r="149" spans="52:117" hidden="1" x14ac:dyDescent="0.25">
      <c r="AZ149" s="36">
        <f>INDEX($BB$149:$DM$149,1,BA144+1)</f>
        <v>5</v>
      </c>
      <c r="BA149" s="36">
        <v>2</v>
      </c>
      <c r="BB149" s="138">
        <v>5</v>
      </c>
      <c r="BC149" s="36">
        <v>5</v>
      </c>
      <c r="BD149" s="36">
        <v>5</v>
      </c>
      <c r="BE149" s="36">
        <v>5</v>
      </c>
      <c r="BF149" s="36">
        <v>4</v>
      </c>
      <c r="BG149" s="1">
        <v>4</v>
      </c>
      <c r="BH149" s="1">
        <v>4</v>
      </c>
      <c r="BI149" s="1">
        <v>4</v>
      </c>
      <c r="BJ149" s="1">
        <v>4</v>
      </c>
      <c r="BK149" s="1">
        <v>4</v>
      </c>
      <c r="BL149" s="1">
        <v>4</v>
      </c>
      <c r="BM149" s="1">
        <v>4</v>
      </c>
      <c r="BN149" s="1">
        <v>3</v>
      </c>
      <c r="BO149" s="36">
        <v>3</v>
      </c>
      <c r="BP149" s="36">
        <v>3</v>
      </c>
      <c r="BQ149" s="36">
        <v>3</v>
      </c>
      <c r="BR149" s="36">
        <v>4</v>
      </c>
      <c r="BS149" s="36">
        <v>4</v>
      </c>
      <c r="BT149" s="36">
        <v>4</v>
      </c>
      <c r="BV149" s="36">
        <v>3</v>
      </c>
      <c r="BW149" s="1">
        <v>3</v>
      </c>
      <c r="BX149" s="1">
        <v>3</v>
      </c>
      <c r="BY149" s="1"/>
      <c r="BZ149" s="1">
        <v>3</v>
      </c>
      <c r="CA149" s="1">
        <v>3</v>
      </c>
      <c r="CB149" s="1">
        <v>3</v>
      </c>
      <c r="CC149" s="1"/>
      <c r="CD149" s="1">
        <v>2</v>
      </c>
      <c r="CE149" s="36">
        <v>2</v>
      </c>
      <c r="CF149" s="36">
        <v>2</v>
      </c>
      <c r="CH149" s="36">
        <v>4</v>
      </c>
      <c r="CI149" s="36">
        <v>4</v>
      </c>
      <c r="CJ149" s="36">
        <v>4</v>
      </c>
      <c r="CL149" s="36">
        <v>3</v>
      </c>
      <c r="CM149" s="36">
        <v>3</v>
      </c>
      <c r="CN149" s="36">
        <v>3</v>
      </c>
      <c r="CP149" s="72">
        <v>3</v>
      </c>
      <c r="CQ149" s="36">
        <v>3</v>
      </c>
      <c r="CR149" s="36">
        <v>3</v>
      </c>
      <c r="CT149" s="36">
        <v>2</v>
      </c>
      <c r="CU149" s="127">
        <v>2</v>
      </c>
      <c r="CV149" s="36">
        <v>2</v>
      </c>
      <c r="CW149" s="36"/>
      <c r="CX149" s="36">
        <v>3</v>
      </c>
      <c r="CY149" s="36">
        <v>3</v>
      </c>
      <c r="CZ149" s="36">
        <v>3</v>
      </c>
      <c r="DB149" s="36">
        <v>2</v>
      </c>
      <c r="DC149" s="36">
        <v>2</v>
      </c>
      <c r="DD149" s="36">
        <v>2</v>
      </c>
      <c r="DF149" s="36">
        <v>2</v>
      </c>
      <c r="DG149" s="36">
        <v>2</v>
      </c>
      <c r="DH149" s="36">
        <v>2</v>
      </c>
      <c r="DJ149" s="36">
        <v>1</v>
      </c>
      <c r="DK149" s="36">
        <v>1</v>
      </c>
      <c r="DL149" s="36">
        <v>1</v>
      </c>
      <c r="DM149" s="149"/>
    </row>
    <row r="150" spans="52:117" hidden="1" x14ac:dyDescent="0.25">
      <c r="AZ150" s="36">
        <f>INDEX($BB$150:$DM$150,1,BA144+1)</f>
        <v>4</v>
      </c>
      <c r="BA150" s="36">
        <v>3</v>
      </c>
      <c r="BB150" s="140">
        <v>4</v>
      </c>
      <c r="BC150" s="85">
        <v>4</v>
      </c>
      <c r="BD150" s="85">
        <v>4</v>
      </c>
      <c r="BE150" s="85">
        <v>4</v>
      </c>
      <c r="BF150" s="85">
        <v>3</v>
      </c>
      <c r="BG150" s="260">
        <v>3</v>
      </c>
      <c r="BH150" s="260">
        <v>3</v>
      </c>
      <c r="BI150" s="260">
        <v>3</v>
      </c>
      <c r="BJ150" s="260">
        <v>3</v>
      </c>
      <c r="BK150" s="260">
        <v>3</v>
      </c>
      <c r="BL150" s="260">
        <v>3</v>
      </c>
      <c r="BM150" s="260">
        <v>3</v>
      </c>
      <c r="BN150" s="260"/>
      <c r="BO150" s="85"/>
      <c r="BP150" s="85"/>
      <c r="BQ150" s="85"/>
      <c r="BR150" s="85">
        <v>3</v>
      </c>
      <c r="BS150" s="85">
        <v>3</v>
      </c>
      <c r="BT150" s="85">
        <v>3</v>
      </c>
      <c r="BU150" s="85">
        <v>3</v>
      </c>
      <c r="BV150" s="85">
        <v>2</v>
      </c>
      <c r="BW150" s="85">
        <v>2</v>
      </c>
      <c r="BX150" s="85">
        <v>2</v>
      </c>
      <c r="BY150" s="85">
        <v>2</v>
      </c>
      <c r="BZ150" s="85">
        <v>2</v>
      </c>
      <c r="CA150" s="85">
        <v>2</v>
      </c>
      <c r="CB150" s="85">
        <v>2</v>
      </c>
      <c r="CC150" s="85">
        <v>2</v>
      </c>
      <c r="CD150" s="260"/>
      <c r="CE150" s="85"/>
      <c r="CF150" s="85"/>
      <c r="CG150" s="85"/>
      <c r="CH150" s="85">
        <v>3</v>
      </c>
      <c r="CI150" s="85">
        <v>3</v>
      </c>
      <c r="CJ150" s="85">
        <v>3</v>
      </c>
      <c r="CK150" s="85">
        <v>3</v>
      </c>
      <c r="CL150" s="85">
        <v>2</v>
      </c>
      <c r="CM150" s="85">
        <v>2</v>
      </c>
      <c r="CN150" s="85">
        <v>2</v>
      </c>
      <c r="CO150" s="85">
        <v>2</v>
      </c>
      <c r="CP150" s="85">
        <v>2</v>
      </c>
      <c r="CQ150" s="85">
        <v>2</v>
      </c>
      <c r="CR150" s="85">
        <v>2</v>
      </c>
      <c r="CS150" s="281">
        <v>2</v>
      </c>
      <c r="CT150" s="85"/>
      <c r="CU150" s="281"/>
      <c r="CV150" s="85"/>
      <c r="CW150" s="85"/>
      <c r="CX150" s="85">
        <v>2</v>
      </c>
      <c r="CY150" s="85">
        <v>2</v>
      </c>
      <c r="CZ150" s="85">
        <v>2</v>
      </c>
      <c r="DA150" s="85">
        <v>2</v>
      </c>
      <c r="DB150" s="85">
        <v>1</v>
      </c>
      <c r="DC150" s="85">
        <v>1</v>
      </c>
      <c r="DD150" s="85">
        <v>1</v>
      </c>
      <c r="DE150" s="85">
        <v>1</v>
      </c>
      <c r="DF150" s="85">
        <v>1</v>
      </c>
      <c r="DG150" s="85">
        <v>1</v>
      </c>
      <c r="DH150" s="85">
        <v>1</v>
      </c>
      <c r="DI150" s="85">
        <v>1</v>
      </c>
      <c r="DJ150" s="85"/>
      <c r="DK150" s="85"/>
      <c r="DL150" s="85"/>
      <c r="DM150" s="141"/>
    </row>
    <row r="151" spans="52:117" hidden="1" x14ac:dyDescent="0.25">
      <c r="AZ151" s="36">
        <f>INDEX($BB$151:$DM$151,1,BA144+1)</f>
        <v>3</v>
      </c>
      <c r="BA151" s="36">
        <v>4</v>
      </c>
      <c r="BB151" s="142">
        <v>3</v>
      </c>
      <c r="BC151" s="83">
        <v>3</v>
      </c>
      <c r="BD151" s="83">
        <v>3</v>
      </c>
      <c r="BE151" s="83">
        <v>3</v>
      </c>
      <c r="BF151" s="83">
        <v>3</v>
      </c>
      <c r="BG151" s="263">
        <v>3</v>
      </c>
      <c r="BH151" s="263">
        <v>3</v>
      </c>
      <c r="BI151" s="263">
        <v>3</v>
      </c>
      <c r="BJ151" s="263">
        <v>3</v>
      </c>
      <c r="BK151" s="263">
        <v>3</v>
      </c>
      <c r="BL151" s="263">
        <v>3</v>
      </c>
      <c r="BM151" s="263">
        <v>3</v>
      </c>
      <c r="BN151" s="263"/>
      <c r="BO151" s="83"/>
      <c r="BP151" s="83"/>
      <c r="BQ151" s="83"/>
      <c r="BR151" s="83">
        <v>2</v>
      </c>
      <c r="BS151" s="83">
        <v>2</v>
      </c>
      <c r="BT151" s="83">
        <v>2</v>
      </c>
      <c r="BU151" s="83">
        <v>2</v>
      </c>
      <c r="BV151" s="83">
        <v>2</v>
      </c>
      <c r="BW151" s="83">
        <v>2</v>
      </c>
      <c r="BX151" s="83">
        <v>2</v>
      </c>
      <c r="BY151" s="83">
        <v>2</v>
      </c>
      <c r="BZ151" s="83">
        <v>2</v>
      </c>
      <c r="CA151" s="83">
        <v>2</v>
      </c>
      <c r="CB151" s="83">
        <v>2</v>
      </c>
      <c r="CC151" s="83">
        <v>2</v>
      </c>
      <c r="CD151" s="263"/>
      <c r="CE151" s="83"/>
      <c r="CF151" s="83"/>
      <c r="CG151" s="83"/>
      <c r="CH151" s="83">
        <v>2</v>
      </c>
      <c r="CI151" s="83">
        <v>2</v>
      </c>
      <c r="CJ151" s="83">
        <v>2</v>
      </c>
      <c r="CK151" s="83">
        <v>2</v>
      </c>
      <c r="CL151" s="83">
        <v>2</v>
      </c>
      <c r="CM151" s="83">
        <v>2</v>
      </c>
      <c r="CN151" s="83">
        <v>2</v>
      </c>
      <c r="CO151" s="83">
        <v>2</v>
      </c>
      <c r="CP151" s="83">
        <v>2</v>
      </c>
      <c r="CQ151" s="83">
        <v>2</v>
      </c>
      <c r="CR151" s="83">
        <v>2</v>
      </c>
      <c r="CS151" s="282">
        <v>2</v>
      </c>
      <c r="CT151" s="83"/>
      <c r="CU151" s="282"/>
      <c r="CV151" s="83"/>
      <c r="CW151" s="83"/>
      <c r="CX151" s="83">
        <v>1</v>
      </c>
      <c r="CY151" s="83">
        <v>1</v>
      </c>
      <c r="CZ151" s="83">
        <v>1</v>
      </c>
      <c r="DA151" s="83">
        <v>1</v>
      </c>
      <c r="DB151" s="83">
        <v>1</v>
      </c>
      <c r="DC151" s="83">
        <v>1</v>
      </c>
      <c r="DD151" s="83">
        <v>1</v>
      </c>
      <c r="DE151" s="83">
        <v>1</v>
      </c>
      <c r="DF151" s="83">
        <v>1</v>
      </c>
      <c r="DG151" s="83">
        <v>1</v>
      </c>
      <c r="DH151" s="83">
        <v>1</v>
      </c>
      <c r="DI151" s="83">
        <v>1</v>
      </c>
      <c r="DJ151" s="83"/>
      <c r="DK151" s="83"/>
      <c r="DL151" s="83"/>
      <c r="DM151" s="143"/>
    </row>
    <row r="152" spans="52:117" hidden="1" x14ac:dyDescent="0.25">
      <c r="AZ152" s="36">
        <f>INDEX($BB$152:$DM$152,1,BA144+1)</f>
        <v>2</v>
      </c>
      <c r="BA152" s="36">
        <v>5</v>
      </c>
      <c r="BB152" s="138">
        <v>2</v>
      </c>
      <c r="BC152" s="36">
        <v>2</v>
      </c>
      <c r="BD152" s="36">
        <v>2</v>
      </c>
      <c r="BE152" s="36">
        <v>2</v>
      </c>
      <c r="BF152" s="36">
        <v>2</v>
      </c>
      <c r="BG152" s="36">
        <v>2</v>
      </c>
      <c r="BH152" s="36">
        <v>2</v>
      </c>
      <c r="BI152" s="36">
        <v>2</v>
      </c>
      <c r="BJ152" s="36">
        <v>2</v>
      </c>
      <c r="BK152" s="36">
        <v>2</v>
      </c>
      <c r="BL152" s="36">
        <v>2</v>
      </c>
      <c r="BM152" s="36">
        <v>2</v>
      </c>
      <c r="BN152" s="36">
        <v>2</v>
      </c>
      <c r="BO152" s="36">
        <v>2</v>
      </c>
      <c r="BP152" s="36">
        <v>2</v>
      </c>
      <c r="BQ152" s="36">
        <v>2</v>
      </c>
      <c r="BR152" s="36">
        <v>1</v>
      </c>
      <c r="BS152" s="36">
        <v>1</v>
      </c>
      <c r="BT152" s="36">
        <v>1</v>
      </c>
      <c r="BU152" s="36">
        <v>1</v>
      </c>
      <c r="BV152" s="36">
        <v>1</v>
      </c>
      <c r="BW152" s="36">
        <v>1</v>
      </c>
      <c r="BX152" s="36">
        <v>1</v>
      </c>
      <c r="BY152" s="36">
        <v>1</v>
      </c>
      <c r="BZ152" s="36">
        <v>1</v>
      </c>
      <c r="CA152" s="36">
        <v>1</v>
      </c>
      <c r="CB152" s="36">
        <v>1</v>
      </c>
      <c r="CC152" s="36">
        <v>1</v>
      </c>
      <c r="CD152" s="36">
        <v>1</v>
      </c>
      <c r="CE152" s="36">
        <v>1</v>
      </c>
      <c r="CF152" s="36">
        <v>1</v>
      </c>
      <c r="CG152" s="36">
        <v>1</v>
      </c>
      <c r="CH152" s="36">
        <v>1</v>
      </c>
      <c r="CI152" s="36">
        <v>1</v>
      </c>
      <c r="CJ152" s="36">
        <v>1</v>
      </c>
      <c r="CK152" s="36">
        <v>1</v>
      </c>
      <c r="CL152" s="36">
        <v>1</v>
      </c>
      <c r="CM152" s="36">
        <v>1</v>
      </c>
      <c r="CN152" s="36">
        <v>1</v>
      </c>
      <c r="CO152" s="36">
        <v>1</v>
      </c>
      <c r="CP152" s="36">
        <v>1</v>
      </c>
      <c r="CQ152" s="36">
        <v>1</v>
      </c>
      <c r="CR152" s="36">
        <v>1</v>
      </c>
      <c r="CS152" s="127">
        <v>1</v>
      </c>
      <c r="CT152" s="36">
        <v>1</v>
      </c>
      <c r="CU152" s="127">
        <v>1</v>
      </c>
      <c r="CV152" s="36">
        <v>1</v>
      </c>
      <c r="CW152" s="36">
        <v>1</v>
      </c>
      <c r="CX152" s="36"/>
      <c r="CY152" s="36"/>
      <c r="CZ152" s="36"/>
      <c r="DI152" s="36"/>
    </row>
    <row r="153" spans="52:117" hidden="1" x14ac:dyDescent="0.25">
      <c r="AZ153" s="36">
        <f>INDEX($BB$153:$DM$153,1,BA144+1)</f>
        <v>1</v>
      </c>
      <c r="BA153" s="36">
        <v>6</v>
      </c>
      <c r="BB153" s="142">
        <v>1</v>
      </c>
      <c r="BC153" s="83">
        <v>1</v>
      </c>
      <c r="BD153" s="83">
        <v>1</v>
      </c>
      <c r="BE153" s="83">
        <v>1</v>
      </c>
      <c r="BF153" s="83">
        <v>1</v>
      </c>
      <c r="BG153" s="83">
        <v>1</v>
      </c>
      <c r="BH153" s="83">
        <v>1</v>
      </c>
      <c r="BI153" s="83">
        <v>1</v>
      </c>
      <c r="BJ153" s="83">
        <v>1</v>
      </c>
      <c r="BK153" s="83">
        <v>1</v>
      </c>
      <c r="BL153" s="83">
        <v>1</v>
      </c>
      <c r="BM153" s="83">
        <v>1</v>
      </c>
      <c r="BN153" s="83">
        <v>1</v>
      </c>
      <c r="BO153" s="83">
        <v>1</v>
      </c>
      <c r="BP153" s="83">
        <v>1</v>
      </c>
      <c r="BQ153" s="83">
        <v>1</v>
      </c>
      <c r="BR153" s="83">
        <v>1</v>
      </c>
      <c r="BS153" s="83">
        <v>1</v>
      </c>
      <c r="BT153" s="83">
        <v>1</v>
      </c>
      <c r="BU153" s="83">
        <v>1</v>
      </c>
      <c r="BV153" s="83">
        <v>1</v>
      </c>
      <c r="BW153" s="83">
        <v>1</v>
      </c>
      <c r="BX153" s="83">
        <v>1</v>
      </c>
      <c r="BY153" s="83">
        <v>1</v>
      </c>
      <c r="BZ153" s="83">
        <v>1</v>
      </c>
      <c r="CA153" s="83">
        <v>1</v>
      </c>
      <c r="CB153" s="83">
        <v>1</v>
      </c>
      <c r="CC153" s="83">
        <v>1</v>
      </c>
      <c r="CD153" s="83">
        <v>1</v>
      </c>
      <c r="CE153" s="83">
        <v>1</v>
      </c>
      <c r="CF153" s="83">
        <v>1</v>
      </c>
      <c r="CG153" s="83">
        <v>1</v>
      </c>
      <c r="CH153" s="83">
        <v>1</v>
      </c>
      <c r="CI153" s="83">
        <v>1</v>
      </c>
      <c r="CJ153" s="83">
        <v>1</v>
      </c>
      <c r="CK153" s="83">
        <v>1</v>
      </c>
      <c r="CL153" s="83">
        <v>1</v>
      </c>
      <c r="CM153" s="83">
        <v>1</v>
      </c>
      <c r="CN153" s="83">
        <v>1</v>
      </c>
      <c r="CO153" s="83">
        <v>1</v>
      </c>
      <c r="CP153" s="83">
        <v>1</v>
      </c>
      <c r="CQ153" s="83">
        <v>1</v>
      </c>
      <c r="CR153" s="83">
        <v>1</v>
      </c>
      <c r="CS153" s="282">
        <v>1</v>
      </c>
      <c r="CT153" s="83">
        <v>1</v>
      </c>
      <c r="CU153" s="282">
        <v>1</v>
      </c>
      <c r="CV153" s="83">
        <v>1</v>
      </c>
      <c r="CW153" s="83">
        <v>1</v>
      </c>
      <c r="CX153" s="83"/>
      <c r="CY153" s="83"/>
      <c r="CZ153" s="83"/>
      <c r="DA153" s="83"/>
      <c r="DB153" s="83"/>
      <c r="DC153" s="83"/>
      <c r="DD153" s="83"/>
      <c r="DE153" s="83"/>
      <c r="DF153" s="83"/>
      <c r="DG153" s="83"/>
      <c r="DH153" s="83"/>
      <c r="DI153" s="83"/>
      <c r="DJ153" s="83"/>
      <c r="DK153" s="83"/>
      <c r="DL153" s="83"/>
      <c r="DM153" s="83"/>
    </row>
    <row r="154" spans="52:117" hidden="1" x14ac:dyDescent="0.25"/>
    <row r="155" spans="52:117" hidden="1" x14ac:dyDescent="0.25">
      <c r="BB155" s="140"/>
      <c r="BC155" s="85" t="s">
        <v>12</v>
      </c>
      <c r="BD155" s="85"/>
      <c r="BE155" s="85" t="s">
        <v>12</v>
      </c>
      <c r="BF155" s="260"/>
      <c r="BG155" s="260" t="s">
        <v>12</v>
      </c>
      <c r="BH155" s="260"/>
      <c r="BI155" s="260" t="s">
        <v>12</v>
      </c>
      <c r="BJ155" s="260"/>
      <c r="BK155" s="85" t="s">
        <v>12</v>
      </c>
      <c r="BL155" s="85"/>
      <c r="BM155" s="85" t="s">
        <v>12</v>
      </c>
      <c r="BN155" s="260"/>
      <c r="BO155" s="260" t="s">
        <v>12</v>
      </c>
      <c r="BP155" s="260"/>
      <c r="BQ155" s="260" t="s">
        <v>12</v>
      </c>
      <c r="BR155" s="85"/>
      <c r="BS155" s="85" t="s">
        <v>12</v>
      </c>
      <c r="BT155" s="85"/>
      <c r="BU155" s="85" t="s">
        <v>12</v>
      </c>
      <c r="BV155" s="260"/>
      <c r="BW155" s="260" t="s">
        <v>12</v>
      </c>
      <c r="BX155" s="260"/>
      <c r="BY155" s="260" t="s">
        <v>12</v>
      </c>
      <c r="BZ155" s="260"/>
      <c r="CA155" s="85" t="s">
        <v>12</v>
      </c>
      <c r="CB155" s="85"/>
      <c r="CC155" s="85" t="s">
        <v>12</v>
      </c>
      <c r="CD155" s="260"/>
      <c r="CE155" s="260" t="s">
        <v>12</v>
      </c>
      <c r="CF155" s="260"/>
      <c r="CG155" s="260" t="s">
        <v>12</v>
      </c>
      <c r="CH155" s="85"/>
      <c r="CI155" s="85" t="s">
        <v>12</v>
      </c>
      <c r="CJ155" s="85"/>
      <c r="CK155" s="85" t="s">
        <v>12</v>
      </c>
      <c r="CL155" s="260"/>
      <c r="CM155" s="260" t="s">
        <v>12</v>
      </c>
      <c r="CN155" s="260"/>
      <c r="CO155" s="260" t="s">
        <v>12</v>
      </c>
      <c r="CP155" s="260"/>
      <c r="CQ155" s="85" t="s">
        <v>12</v>
      </c>
      <c r="CR155" s="85"/>
      <c r="CS155" s="281" t="s">
        <v>12</v>
      </c>
      <c r="CT155" s="260"/>
      <c r="CU155" s="285" t="s">
        <v>12</v>
      </c>
      <c r="CV155" s="260"/>
      <c r="CW155" s="260" t="s">
        <v>12</v>
      </c>
      <c r="CX155" s="85"/>
      <c r="CY155" s="85" t="s">
        <v>12</v>
      </c>
      <c r="CZ155" s="85"/>
      <c r="DA155" s="85" t="s">
        <v>12</v>
      </c>
      <c r="DB155" s="260"/>
      <c r="DC155" s="260" t="s">
        <v>12</v>
      </c>
      <c r="DD155" s="260"/>
      <c r="DE155" s="260" t="s">
        <v>12</v>
      </c>
      <c r="DF155" s="260"/>
      <c r="DG155" s="85" t="s">
        <v>12</v>
      </c>
      <c r="DH155" s="85"/>
      <c r="DI155" s="85" t="s">
        <v>12</v>
      </c>
      <c r="DJ155" s="260"/>
      <c r="DK155" s="260" t="s">
        <v>12</v>
      </c>
      <c r="DL155" s="260"/>
      <c r="DM155" s="261" t="s">
        <v>12</v>
      </c>
    </row>
    <row r="156" spans="52:117" hidden="1" x14ac:dyDescent="0.25">
      <c r="BB156" s="138"/>
      <c r="BD156" s="36" t="s">
        <v>12</v>
      </c>
      <c r="BE156" s="36" t="s">
        <v>12</v>
      </c>
      <c r="BH156" s="1" t="s">
        <v>12</v>
      </c>
      <c r="BI156" s="1" t="s">
        <v>12</v>
      </c>
      <c r="BK156" s="36"/>
      <c r="BL156" s="36" t="s">
        <v>12</v>
      </c>
      <c r="BM156" s="36" t="s">
        <v>12</v>
      </c>
      <c r="BO156" s="1"/>
      <c r="BP156" s="1" t="s">
        <v>12</v>
      </c>
      <c r="BQ156" s="1" t="s">
        <v>12</v>
      </c>
      <c r="BT156" s="36" t="s">
        <v>12</v>
      </c>
      <c r="BU156" s="36" t="s">
        <v>12</v>
      </c>
      <c r="BV156" s="1"/>
      <c r="BW156" s="1"/>
      <c r="BX156" s="1" t="s">
        <v>12</v>
      </c>
      <c r="BY156" s="1" t="s">
        <v>12</v>
      </c>
      <c r="BZ156" s="1"/>
      <c r="CB156" s="36" t="s">
        <v>12</v>
      </c>
      <c r="CC156" s="36" t="s">
        <v>12</v>
      </c>
      <c r="CD156" s="1"/>
      <c r="CE156" s="1"/>
      <c r="CF156" s="1" t="s">
        <v>12</v>
      </c>
      <c r="CG156" s="1" t="s">
        <v>12</v>
      </c>
      <c r="CJ156" s="36" t="s">
        <v>12</v>
      </c>
      <c r="CK156" s="36" t="s">
        <v>12</v>
      </c>
      <c r="CL156" s="1"/>
      <c r="CM156" s="1"/>
      <c r="CN156" s="1" t="s">
        <v>12</v>
      </c>
      <c r="CO156" s="1" t="s">
        <v>12</v>
      </c>
      <c r="CP156" s="1"/>
      <c r="CR156" s="36" t="s">
        <v>12</v>
      </c>
      <c r="CS156" s="127" t="s">
        <v>12</v>
      </c>
      <c r="CT156" s="1"/>
      <c r="CU156" s="284"/>
      <c r="CV156" s="1" t="s">
        <v>12</v>
      </c>
      <c r="CW156" s="1" t="s">
        <v>12</v>
      </c>
      <c r="CX156" s="36"/>
      <c r="CY156" s="36"/>
      <c r="CZ156" s="36" t="s">
        <v>12</v>
      </c>
      <c r="DA156" s="36" t="s">
        <v>12</v>
      </c>
      <c r="DB156" s="1"/>
      <c r="DC156" s="1"/>
      <c r="DD156" s="1" t="s">
        <v>12</v>
      </c>
      <c r="DE156" s="1" t="s">
        <v>12</v>
      </c>
      <c r="DF156" s="1"/>
      <c r="DH156" s="36" t="s">
        <v>12</v>
      </c>
      <c r="DI156" s="36" t="s">
        <v>12</v>
      </c>
      <c r="DJ156" s="1"/>
      <c r="DK156" s="1"/>
      <c r="DL156" s="1" t="s">
        <v>12</v>
      </c>
      <c r="DM156" s="262" t="s">
        <v>12</v>
      </c>
    </row>
    <row r="157" spans="52:117" hidden="1" x14ac:dyDescent="0.25">
      <c r="BB157" s="140"/>
      <c r="BC157" s="85"/>
      <c r="BD157" s="85"/>
      <c r="BE157" s="85"/>
      <c r="BF157" s="260" t="s">
        <v>12</v>
      </c>
      <c r="BG157" s="260" t="s">
        <v>12</v>
      </c>
      <c r="BH157" s="260" t="s">
        <v>12</v>
      </c>
      <c r="BI157" s="260" t="s">
        <v>12</v>
      </c>
      <c r="BJ157" s="260"/>
      <c r="BK157" s="85"/>
      <c r="BL157" s="85"/>
      <c r="BM157" s="85"/>
      <c r="BN157" s="260" t="s">
        <v>12</v>
      </c>
      <c r="BO157" s="260" t="s">
        <v>12</v>
      </c>
      <c r="BP157" s="260" t="s">
        <v>12</v>
      </c>
      <c r="BQ157" s="260" t="s">
        <v>12</v>
      </c>
      <c r="BR157" s="85"/>
      <c r="BS157" s="85"/>
      <c r="BT157" s="85"/>
      <c r="BU157" s="85"/>
      <c r="BV157" s="260" t="s">
        <v>12</v>
      </c>
      <c r="BW157" s="260" t="s">
        <v>12</v>
      </c>
      <c r="BX157" s="260" t="s">
        <v>12</v>
      </c>
      <c r="BY157" s="260" t="s">
        <v>12</v>
      </c>
      <c r="BZ157" s="260"/>
      <c r="CA157" s="85"/>
      <c r="CB157" s="85"/>
      <c r="CC157" s="85"/>
      <c r="CD157" s="260" t="s">
        <v>12</v>
      </c>
      <c r="CE157" s="260" t="s">
        <v>12</v>
      </c>
      <c r="CF157" s="260" t="s">
        <v>12</v>
      </c>
      <c r="CG157" s="260" t="s">
        <v>12</v>
      </c>
      <c r="CH157" s="85"/>
      <c r="CI157" s="85"/>
      <c r="CJ157" s="85"/>
      <c r="CK157" s="85"/>
      <c r="CL157" s="260" t="s">
        <v>12</v>
      </c>
      <c r="CM157" s="260" t="s">
        <v>12</v>
      </c>
      <c r="CN157" s="260" t="s">
        <v>12</v>
      </c>
      <c r="CO157" s="260" t="s">
        <v>12</v>
      </c>
      <c r="CP157" s="260"/>
      <c r="CQ157" s="85"/>
      <c r="CR157" s="85"/>
      <c r="CS157" s="281"/>
      <c r="CT157" s="260" t="s">
        <v>12</v>
      </c>
      <c r="CU157" s="285" t="s">
        <v>12</v>
      </c>
      <c r="CV157" s="260" t="s">
        <v>12</v>
      </c>
      <c r="CW157" s="260" t="s">
        <v>12</v>
      </c>
      <c r="CX157" s="85"/>
      <c r="CY157" s="85"/>
      <c r="CZ157" s="85"/>
      <c r="DA157" s="85"/>
      <c r="DB157" s="260" t="s">
        <v>12</v>
      </c>
      <c r="DC157" s="260" t="s">
        <v>12</v>
      </c>
      <c r="DD157" s="260" t="s">
        <v>12</v>
      </c>
      <c r="DE157" s="260" t="s">
        <v>12</v>
      </c>
      <c r="DF157" s="260"/>
      <c r="DG157" s="85"/>
      <c r="DH157" s="85"/>
      <c r="DI157" s="85"/>
      <c r="DJ157" s="260" t="s">
        <v>12</v>
      </c>
      <c r="DK157" s="260" t="s">
        <v>12</v>
      </c>
      <c r="DL157" s="260" t="s">
        <v>12</v>
      </c>
      <c r="DM157" s="261" t="s">
        <v>12</v>
      </c>
    </row>
    <row r="158" spans="52:117" hidden="1" x14ac:dyDescent="0.25">
      <c r="BB158" s="142"/>
      <c r="BC158" s="83"/>
      <c r="BD158" s="83"/>
      <c r="BE158" s="83"/>
      <c r="BF158" s="263"/>
      <c r="BG158" s="263"/>
      <c r="BH158" s="263"/>
      <c r="BI158" s="263"/>
      <c r="BJ158" s="263" t="s">
        <v>12</v>
      </c>
      <c r="BK158" s="263" t="s">
        <v>12</v>
      </c>
      <c r="BL158" s="263" t="s">
        <v>12</v>
      </c>
      <c r="BM158" s="263" t="s">
        <v>12</v>
      </c>
      <c r="BN158" s="263" t="s">
        <v>12</v>
      </c>
      <c r="BO158" s="83" t="s">
        <v>12</v>
      </c>
      <c r="BP158" s="83" t="s">
        <v>12</v>
      </c>
      <c r="BQ158" s="83" t="s">
        <v>12</v>
      </c>
      <c r="BR158" s="83"/>
      <c r="BS158" s="83"/>
      <c r="BT158" s="83"/>
      <c r="BU158" s="83"/>
      <c r="BV158" s="263"/>
      <c r="BW158" s="263"/>
      <c r="BX158" s="263"/>
      <c r="BY158" s="263"/>
      <c r="BZ158" s="263" t="s">
        <v>12</v>
      </c>
      <c r="CA158" s="263" t="s">
        <v>12</v>
      </c>
      <c r="CB158" s="263" t="s">
        <v>12</v>
      </c>
      <c r="CC158" s="263" t="s">
        <v>12</v>
      </c>
      <c r="CD158" s="263" t="s">
        <v>12</v>
      </c>
      <c r="CE158" s="83" t="s">
        <v>12</v>
      </c>
      <c r="CF158" s="83" t="s">
        <v>12</v>
      </c>
      <c r="CG158" s="83" t="s">
        <v>12</v>
      </c>
      <c r="CH158" s="83"/>
      <c r="CI158" s="83"/>
      <c r="CJ158" s="83"/>
      <c r="CK158" s="83"/>
      <c r="CL158" s="263"/>
      <c r="CM158" s="263"/>
      <c r="CN158" s="263"/>
      <c r="CO158" s="263"/>
      <c r="CP158" s="263" t="s">
        <v>12</v>
      </c>
      <c r="CQ158" s="263" t="s">
        <v>12</v>
      </c>
      <c r="CR158" s="263" t="s">
        <v>12</v>
      </c>
      <c r="CS158" s="283" t="s">
        <v>12</v>
      </c>
      <c r="CT158" s="263" t="s">
        <v>12</v>
      </c>
      <c r="CU158" s="282" t="s">
        <v>12</v>
      </c>
      <c r="CV158" s="83" t="s">
        <v>12</v>
      </c>
      <c r="CW158" s="83" t="s">
        <v>12</v>
      </c>
      <c r="CX158" s="83"/>
      <c r="CY158" s="83"/>
      <c r="CZ158" s="83"/>
      <c r="DA158" s="83"/>
      <c r="DB158" s="263"/>
      <c r="DC158" s="263"/>
      <c r="DD158" s="263"/>
      <c r="DE158" s="263"/>
      <c r="DF158" s="263" t="s">
        <v>12</v>
      </c>
      <c r="DG158" s="263" t="s">
        <v>12</v>
      </c>
      <c r="DH158" s="263" t="s">
        <v>12</v>
      </c>
      <c r="DI158" s="263" t="s">
        <v>12</v>
      </c>
      <c r="DJ158" s="263" t="s">
        <v>12</v>
      </c>
      <c r="DK158" s="83" t="s">
        <v>12</v>
      </c>
      <c r="DL158" s="83" t="s">
        <v>12</v>
      </c>
      <c r="DM158" s="143" t="s">
        <v>12</v>
      </c>
    </row>
    <row r="159" spans="52:117" hidden="1" x14ac:dyDescent="0.25">
      <c r="BB159" s="138"/>
      <c r="BR159" s="36" t="s">
        <v>12</v>
      </c>
      <c r="BS159" s="36" t="s">
        <v>12</v>
      </c>
      <c r="BT159" s="36" t="s">
        <v>12</v>
      </c>
      <c r="BU159" s="36" t="s">
        <v>12</v>
      </c>
      <c r="BV159" s="36" t="s">
        <v>12</v>
      </c>
      <c r="BW159" s="36" t="s">
        <v>12</v>
      </c>
      <c r="BX159" s="36" t="s">
        <v>12</v>
      </c>
      <c r="BY159" s="36" t="s">
        <v>12</v>
      </c>
      <c r="BZ159" s="36" t="s">
        <v>12</v>
      </c>
      <c r="CA159" s="36" t="s">
        <v>12</v>
      </c>
      <c r="CB159" s="36" t="s">
        <v>12</v>
      </c>
      <c r="CC159" s="36" t="s">
        <v>12</v>
      </c>
      <c r="CD159" s="36" t="s">
        <v>12</v>
      </c>
      <c r="CE159" s="36" t="s">
        <v>12</v>
      </c>
      <c r="CF159" s="36" t="s">
        <v>12</v>
      </c>
      <c r="CG159" s="36" t="s">
        <v>12</v>
      </c>
      <c r="CL159" s="1"/>
      <c r="CM159" s="1"/>
      <c r="CN159" s="1"/>
      <c r="CO159" s="1"/>
      <c r="CP159" s="1"/>
      <c r="CQ159" s="1"/>
      <c r="CR159" s="1"/>
      <c r="CS159" s="284"/>
      <c r="CT159" s="1"/>
      <c r="CV159" s="36"/>
      <c r="CW159" s="36"/>
      <c r="CX159" s="36" t="s">
        <v>12</v>
      </c>
      <c r="CY159" s="36" t="s">
        <v>12</v>
      </c>
      <c r="CZ159" s="36" t="s">
        <v>12</v>
      </c>
      <c r="DA159" s="36" t="s">
        <v>12</v>
      </c>
      <c r="DB159" s="36" t="s">
        <v>12</v>
      </c>
      <c r="DC159" s="36" t="s">
        <v>12</v>
      </c>
      <c r="DD159" s="36" t="s">
        <v>12</v>
      </c>
      <c r="DE159" s="36" t="s">
        <v>12</v>
      </c>
      <c r="DF159" s="36" t="s">
        <v>12</v>
      </c>
      <c r="DG159" s="36" t="s">
        <v>12</v>
      </c>
      <c r="DH159" s="36" t="s">
        <v>12</v>
      </c>
      <c r="DI159" s="36" t="s">
        <v>12</v>
      </c>
      <c r="DJ159" s="36" t="s">
        <v>12</v>
      </c>
      <c r="DK159" s="36" t="s">
        <v>12</v>
      </c>
      <c r="DL159" s="36" t="s">
        <v>12</v>
      </c>
      <c r="DM159" s="149" t="s">
        <v>12</v>
      </c>
    </row>
    <row r="160" spans="52:117" x14ac:dyDescent="0.25">
      <c r="BB160" s="142"/>
      <c r="BC160" s="83"/>
      <c r="BD160" s="83"/>
      <c r="BE160" s="83"/>
      <c r="BF160" s="263"/>
      <c r="BG160" s="263"/>
      <c r="BH160" s="263"/>
      <c r="BI160" s="263"/>
      <c r="BJ160" s="263"/>
      <c r="BK160" s="263"/>
      <c r="BL160" s="263"/>
      <c r="BM160" s="263"/>
      <c r="BN160" s="263"/>
      <c r="BO160" s="83"/>
      <c r="BP160" s="83"/>
      <c r="BQ160" s="83"/>
      <c r="BR160" s="83"/>
      <c r="BS160" s="83"/>
      <c r="BT160" s="83"/>
      <c r="BU160" s="83"/>
      <c r="BV160" s="83"/>
      <c r="BW160" s="83"/>
      <c r="BX160" s="83"/>
      <c r="BY160" s="83"/>
      <c r="BZ160" s="83"/>
      <c r="CA160" s="83"/>
      <c r="CB160" s="83"/>
      <c r="CC160" s="83"/>
      <c r="CD160" s="83"/>
      <c r="CE160" s="83"/>
      <c r="CF160" s="83"/>
      <c r="CG160" s="83"/>
      <c r="CH160" s="83" t="s">
        <v>12</v>
      </c>
      <c r="CI160" s="83" t="s">
        <v>12</v>
      </c>
      <c r="CJ160" s="83" t="s">
        <v>12</v>
      </c>
      <c r="CK160" s="83" t="s">
        <v>12</v>
      </c>
      <c r="CL160" s="83" t="s">
        <v>12</v>
      </c>
      <c r="CM160" s="83" t="s">
        <v>12</v>
      </c>
      <c r="CN160" s="83" t="s">
        <v>12</v>
      </c>
      <c r="CO160" s="83" t="s">
        <v>12</v>
      </c>
      <c r="CP160" s="83" t="s">
        <v>12</v>
      </c>
      <c r="CQ160" s="83" t="s">
        <v>12</v>
      </c>
      <c r="CR160" s="83" t="s">
        <v>12</v>
      </c>
      <c r="CS160" s="282" t="s">
        <v>12</v>
      </c>
      <c r="CT160" s="83" t="s">
        <v>12</v>
      </c>
      <c r="CU160" s="282" t="s">
        <v>12</v>
      </c>
      <c r="CV160" s="83" t="s">
        <v>12</v>
      </c>
      <c r="CW160" s="83" t="s">
        <v>12</v>
      </c>
      <c r="CX160" s="83" t="s">
        <v>12</v>
      </c>
      <c r="CY160" s="83" t="s">
        <v>12</v>
      </c>
      <c r="CZ160" s="83" t="s">
        <v>12</v>
      </c>
      <c r="DA160" s="83" t="s">
        <v>12</v>
      </c>
      <c r="DB160" s="83" t="s">
        <v>12</v>
      </c>
      <c r="DC160" s="83" t="s">
        <v>12</v>
      </c>
      <c r="DD160" s="83" t="s">
        <v>12</v>
      </c>
      <c r="DE160" s="83" t="s">
        <v>12</v>
      </c>
      <c r="DF160" s="83" t="s">
        <v>12</v>
      </c>
      <c r="DG160" s="83" t="s">
        <v>12</v>
      </c>
      <c r="DH160" s="83" t="s">
        <v>12</v>
      </c>
      <c r="DI160" s="83" t="s">
        <v>12</v>
      </c>
      <c r="DJ160" s="83" t="s">
        <v>12</v>
      </c>
      <c r="DK160" s="83" t="s">
        <v>12</v>
      </c>
      <c r="DL160" s="83" t="s">
        <v>12</v>
      </c>
      <c r="DM160" s="143" t="s">
        <v>12</v>
      </c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3.2" x14ac:dyDescent="0.25"/>
  <cols>
    <col min="1" max="1" width="8.88671875" style="53" customWidth="1"/>
    <col min="2" max="2" width="7.109375" style="53" customWidth="1"/>
    <col min="3" max="3" width="9.109375" style="53" customWidth="1"/>
    <col min="4" max="4" width="10" style="53" customWidth="1"/>
    <col min="5" max="5" width="9.109375" style="53"/>
    <col min="6" max="6" width="10.6640625" style="53" customWidth="1"/>
    <col min="7" max="7" width="4.109375" style="53" customWidth="1"/>
    <col min="8" max="8" width="9.109375" style="53"/>
    <col min="9" max="9" width="11.44140625" style="53" bestFit="1" customWidth="1"/>
    <col min="10" max="10" width="9.109375" style="53"/>
    <col min="11" max="11" width="10.6640625" style="53" customWidth="1"/>
  </cols>
  <sheetData>
    <row r="1" spans="1:19" ht="45" x14ac:dyDescent="0.25">
      <c r="B1" s="492" t="str">
        <f>[1]List1!$A$274</f>
        <v>Informační tabule</v>
      </c>
      <c r="C1" s="492"/>
      <c r="D1" s="492"/>
      <c r="E1" s="492"/>
      <c r="F1" s="492"/>
      <c r="G1" s="492"/>
      <c r="H1" s="492"/>
      <c r="I1" s="492"/>
      <c r="J1" s="492"/>
      <c r="K1" s="492"/>
    </row>
    <row r="3" spans="1:19" ht="15.6" x14ac:dyDescent="0.25">
      <c r="B3" s="493" t="e">
        <f>#REF!</f>
        <v>#REF!</v>
      </c>
      <c r="C3" s="493"/>
      <c r="D3" s="493"/>
      <c r="E3" s="493"/>
      <c r="F3" s="247" t="e">
        <f>#REF!</f>
        <v>#REF!</v>
      </c>
      <c r="G3" s="247"/>
      <c r="H3" s="248"/>
      <c r="I3" s="249" t="e">
        <f>#REF!</f>
        <v>#REF!</v>
      </c>
      <c r="J3" s="250" t="e">
        <f>#REF!</f>
        <v>#REF!</v>
      </c>
      <c r="P3" t="e">
        <f>B5</f>
        <v>#REF!</v>
      </c>
    </row>
    <row r="4" spans="1:19" ht="15.6" x14ac:dyDescent="0.25">
      <c r="B4" s="250"/>
      <c r="C4" s="250"/>
      <c r="D4" s="250"/>
      <c r="E4" s="250"/>
      <c r="F4" s="247"/>
      <c r="G4" s="247"/>
      <c r="H4" s="248"/>
      <c r="I4" s="249"/>
      <c r="J4" s="250"/>
    </row>
    <row r="5" spans="1:19" ht="15.6" x14ac:dyDescent="0.25">
      <c r="A5" s="286" t="e">
        <f>#REF!</f>
        <v>#REF!</v>
      </c>
      <c r="B5" s="250" t="e">
        <f>CONCATENATE((J3*10000+A5)," ",#REF!," kolo ",#REF!," ",#REF!)</f>
        <v>#REF!</v>
      </c>
      <c r="C5" s="250"/>
      <c r="D5" s="250"/>
      <c r="E5" s="250"/>
      <c r="F5" s="247"/>
      <c r="G5" s="247"/>
      <c r="H5" s="248" t="e">
        <f>CONCATENATE(#REF!)</f>
        <v>#REF!</v>
      </c>
      <c r="I5" s="249"/>
      <c r="J5" s="250" t="e">
        <f>CONCATENATE(#REF!)</f>
        <v>#REF!</v>
      </c>
      <c r="Q5" s="67"/>
      <c r="R5" s="36"/>
      <c r="S5" s="1"/>
    </row>
    <row r="7" spans="1:19" ht="26.4" x14ac:dyDescent="0.25">
      <c r="A7" s="72" t="e">
        <f>#REF!</f>
        <v>#REF!</v>
      </c>
      <c r="B7" s="53" t="e">
        <f>#REF!</f>
        <v>#REF!</v>
      </c>
      <c r="C7" s="288" t="e">
        <f>#REF!</f>
        <v>#REF!</v>
      </c>
      <c r="D7" s="288"/>
      <c r="E7" s="288"/>
      <c r="F7" s="288"/>
      <c r="H7" s="288" t="e">
        <f>#REF!</f>
        <v>#REF!</v>
      </c>
      <c r="I7" s="288"/>
      <c r="J7" s="288"/>
      <c r="K7" s="288"/>
      <c r="Q7" s="67"/>
    </row>
    <row r="8" spans="1:19" x14ac:dyDescent="0.25">
      <c r="A8" s="72"/>
      <c r="C8" s="36"/>
      <c r="D8" s="36"/>
      <c r="E8" s="36"/>
      <c r="F8" s="36"/>
      <c r="H8" s="36"/>
      <c r="I8" s="36"/>
      <c r="J8" s="36"/>
      <c r="K8" s="36"/>
    </row>
    <row r="9" spans="1:19" ht="15.75" customHeight="1" x14ac:dyDescent="0.25">
      <c r="A9" s="36" t="e">
        <f>IF(#REF!="x",#REF!,(#REF!))</f>
        <v>#REF!</v>
      </c>
      <c r="B9" s="36" t="e">
        <f>IF(A9="","",(#REF!))</f>
        <v>#REF!</v>
      </c>
      <c r="C9" s="494" t="e">
        <f>IF(#REF!="x",'Tabulka finále'!A32,((IF(A9="",$O$7,(#REF!)))))</f>
        <v>#REF!</v>
      </c>
      <c r="D9" s="494"/>
      <c r="E9" s="494"/>
      <c r="F9" s="259" t="e">
        <f>IF(#REF!="x","",IF(A9="",$O$7,(#REF!)))</f>
        <v>#REF!</v>
      </c>
      <c r="G9" s="259"/>
      <c r="H9" s="494" t="e">
        <f>IF(#REF!="x","",IF(A9="",$O$7,(#REF!)))</f>
        <v>#REF!</v>
      </c>
      <c r="I9" s="494"/>
      <c r="J9" s="494"/>
      <c r="K9" s="259" t="e">
        <f>IF(#REF!="x","",IF(A9="",$O$7,(#REF!)))</f>
        <v>#REF!</v>
      </c>
    </row>
    <row r="10" spans="1:19" ht="15.75" customHeight="1" x14ac:dyDescent="0.25">
      <c r="A10" s="36" t="e">
        <f>#REF!</f>
        <v>#REF!</v>
      </c>
      <c r="B10" s="36" t="e">
        <f>IF(A10="","",(#REF!))</f>
        <v>#REF!</v>
      </c>
      <c r="C10" s="494" t="e">
        <f>IF('Tabulka finále'!Q42="","",(IF('Tabulka finále'!Q32="","",(IF(#REF!="x",'Tabulka finále'!A36,IF(A10="",$O$7,(#REF!)))))))</f>
        <v>#REF!</v>
      </c>
      <c r="D10" s="494"/>
      <c r="E10" s="494"/>
      <c r="F10" s="259" t="e">
        <f>IF('Tabulka finále'!Q42="","",(IF('Tabulka finále'!Q32="","",(IF(#REF!="x",'Tabulka finále'!B36,IF(A10="",$O$7,(#REF!)))))))</f>
        <v>#REF!</v>
      </c>
      <c r="G10" s="259"/>
      <c r="H10" s="494" t="e">
        <f>IF('Tabulka finále'!Q42="","",(IF('Tabulka finále'!Q32="","",(IF(#REF!="x",'Tabulka finále'!A38,IF(A10="",$O$7,(#REF!)))))))</f>
        <v>#REF!</v>
      </c>
      <c r="I10" s="494"/>
      <c r="J10" s="494"/>
      <c r="K10" s="259" t="e">
        <f>IF('Tabulka finále'!Q42="","",(IF('Tabulka finále'!Q32="","",(IF(#REF!="x",'Tabulka finále'!B38,IF(A10="",$O$7,(#REF!)))))))</f>
        <v>#REF!</v>
      </c>
    </row>
    <row r="11" spans="1:19" ht="15.75" customHeight="1" x14ac:dyDescent="0.25">
      <c r="A11" s="36" t="e">
        <f>#REF!</f>
        <v>#REF!</v>
      </c>
      <c r="B11" s="36" t="e">
        <f>IF(A11="","",(#REF!))</f>
        <v>#REF!</v>
      </c>
      <c r="C11" s="494" t="e">
        <f>IF(A11="",$O$7,(#REF!))</f>
        <v>#REF!</v>
      </c>
      <c r="D11" s="494"/>
      <c r="E11" s="494"/>
      <c r="F11" s="259" t="e">
        <f>IF(A11="",$O$7,(#REF!))</f>
        <v>#REF!</v>
      </c>
      <c r="G11" s="259"/>
      <c r="H11" s="494" t="e">
        <f>IF(A11="",$O$7,(#REF!))</f>
        <v>#REF!</v>
      </c>
      <c r="I11" s="494"/>
      <c r="J11" s="494"/>
      <c r="K11" s="259" t="e">
        <f>IF(A11="",$O$7,(#REF!))</f>
        <v>#REF!</v>
      </c>
    </row>
    <row r="12" spans="1:19" ht="15.75" customHeight="1" x14ac:dyDescent="0.25">
      <c r="A12" s="36" t="e">
        <f>IF(#REF!="x",(#REF!+1),(#REF!))</f>
        <v>#REF!</v>
      </c>
      <c r="B12" s="36" t="e">
        <f>IF(A12="","",(#REF!))</f>
        <v>#REF!</v>
      </c>
      <c r="C12" s="494" t="e">
        <f>IF(#REF!="x",'Tabulka finále'!A42,(IF(A12="",$O$7,(#REF!))))</f>
        <v>#REF!</v>
      </c>
      <c r="D12" s="494"/>
      <c r="E12" s="494"/>
      <c r="F12" s="259" t="e">
        <f>IF(#REF!="x","",IF(A12="",$O$7,(#REF!)))</f>
        <v>#REF!</v>
      </c>
      <c r="G12" s="259"/>
      <c r="H12" s="494" t="e">
        <f>IF(#REF!="x","",IF(A12="",$O$7,(#REF!)))</f>
        <v>#REF!</v>
      </c>
      <c r="I12" s="494"/>
      <c r="J12" s="494"/>
      <c r="K12" s="259" t="e">
        <f>IF(#REF!="x","",IF(A12="",$O$7,(#REF!)))</f>
        <v>#REF!</v>
      </c>
    </row>
    <row r="13" spans="1:19" ht="15.75" customHeight="1" x14ac:dyDescent="0.25">
      <c r="A13" s="36" t="e">
        <f>IF(#REF!="x",(#REF!+1),(#REF!))</f>
        <v>#REF!</v>
      </c>
      <c r="B13" s="36" t="e">
        <f>IF(A13="","",(#REF!))</f>
        <v>#REF!</v>
      </c>
      <c r="C13" s="494" t="e">
        <f>IF(#REF!="x",'Tabulka finále'!A43,(IF(A13="",$O$7,(#REF!))))</f>
        <v>#REF!</v>
      </c>
      <c r="D13" s="494"/>
      <c r="E13" s="494"/>
      <c r="F13" s="259" t="e">
        <f>IF('Tabulka finále'!Q42="","",(IF(#REF!="x",'Tabulka finále'!B46,IF(A13="",$O$7,(#REF!)))))</f>
        <v>#REF!</v>
      </c>
      <c r="G13" s="259"/>
      <c r="H13" s="494" t="e">
        <f>IF('Tabulka finále'!Q42="","",(IF(#REF!="x",'Tabulka finále'!A48,IF(A13="",$O$7,(#REF!)))))</f>
        <v>#REF!</v>
      </c>
      <c r="I13" s="494"/>
      <c r="J13" s="494"/>
      <c r="K13" s="259" t="e">
        <f>IF('Tabulka finále'!Q42="","",(IF(#REF!="x",'Tabulka finále'!B48,IF(A13="",$O$7,(#REF!)))))</f>
        <v>#REF!</v>
      </c>
    </row>
    <row r="14" spans="1:19" ht="15.75" customHeight="1" x14ac:dyDescent="0.25">
      <c r="A14" s="36" t="e">
        <f>IF(#REF!="x",(#REF!+1),(#REF!))</f>
        <v>#REF!</v>
      </c>
      <c r="B14" s="36" t="e">
        <f>IF(A14="","",(#REF!))</f>
        <v>#REF!</v>
      </c>
      <c r="C14" s="494" t="e">
        <f>IF(#REF!="x",'Tabulka finále'!A44,(IF(A14="",$O$7,(#REF!))))</f>
        <v>#REF!</v>
      </c>
      <c r="D14" s="494"/>
      <c r="E14" s="494"/>
      <c r="F14" s="259" t="e">
        <f>IF(A14="",$O$7,(#REF!))</f>
        <v>#REF!</v>
      </c>
      <c r="G14" s="259"/>
      <c r="H14" s="494" t="e">
        <f>IF(A14="",$O$7,(#REF!))</f>
        <v>#REF!</v>
      </c>
      <c r="I14" s="494"/>
      <c r="J14" s="494"/>
      <c r="K14" s="259" t="e">
        <f>IF(A14="",$O$7,(#REF!))</f>
        <v>#REF!</v>
      </c>
    </row>
    <row r="15" spans="1:19" ht="15.75" customHeight="1" x14ac:dyDescent="0.25">
      <c r="A15" s="36" t="e">
        <f>IF(#REF!="x",(#REF!+1),#REF!)</f>
        <v>#REF!</v>
      </c>
      <c r="B15" s="36" t="e">
        <f>IF(A15="","",(#REF!))</f>
        <v>#REF!</v>
      </c>
      <c r="C15" s="494" t="e">
        <f>IF(#REF!="x",'Tabulka finále'!A45,(IF(A15="",$O$7,(#REF!))))</f>
        <v>#REF!</v>
      </c>
      <c r="D15" s="494"/>
      <c r="E15" s="494"/>
      <c r="F15" s="259" t="e">
        <f>IF(#REF!="x","",IF(A15="",$O$7,(#REF!)))</f>
        <v>#REF!</v>
      </c>
      <c r="G15" s="259"/>
      <c r="H15" s="494" t="e">
        <f>IF(#REF!="x","",IF(A15="",$O$7,(#REF!)))</f>
        <v>#REF!</v>
      </c>
      <c r="I15" s="494"/>
      <c r="J15" s="494"/>
      <c r="K15" s="259" t="e">
        <f>IF(#REF!="x","",IF(A15="",$O$7,(#REF!)))</f>
        <v>#REF!</v>
      </c>
    </row>
    <row r="16" spans="1:19" ht="15.75" customHeight="1" x14ac:dyDescent="0.25">
      <c r="A16" s="36" t="e">
        <f>#REF!</f>
        <v>#REF!</v>
      </c>
      <c r="B16" s="36" t="e">
        <f>IF(A16="","",(#REF!))</f>
        <v>#REF!</v>
      </c>
      <c r="C16" s="494" t="e">
        <f>IF(#REF!="x",'Tabulka finále'!A46,(IF(A16="",$O$7,(#REF!))))</f>
        <v>#REF!</v>
      </c>
      <c r="D16" s="494"/>
      <c r="E16" s="494"/>
      <c r="F16" s="259" t="e">
        <f>IF(#REF!="x",'Tabulka finále'!B56,IF(A16="",$O$7,(#REF!)))</f>
        <v>#REF!</v>
      </c>
      <c r="G16" s="259"/>
      <c r="H16" s="494" t="e">
        <f>IF(#REF!="x",'Tabulka finále'!A58,IF(A16="",$O$7,(#REF!)))</f>
        <v>#REF!</v>
      </c>
      <c r="I16" s="494"/>
      <c r="J16" s="494"/>
      <c r="K16" s="259" t="e">
        <f>IF(#REF!="x",'Tabulka finále'!B58,IF(A16="",$O$7,(#REF!)))</f>
        <v>#REF!</v>
      </c>
    </row>
    <row r="17" spans="1:11" ht="15.75" customHeight="1" x14ac:dyDescent="0.25">
      <c r="A17" s="36" t="e">
        <f>#REF!</f>
        <v>#REF!</v>
      </c>
      <c r="B17" s="36" t="e">
        <f>IF(A17="","",(#REF!))</f>
        <v>#REF!</v>
      </c>
      <c r="C17" s="494" t="e">
        <f>IF(#REF!="x",'Tabulka finále'!A47,(IF(A17="",$O$7,(#REF!))))</f>
        <v>#REF!</v>
      </c>
      <c r="D17" s="494"/>
      <c r="E17" s="494"/>
      <c r="F17" s="259" t="e">
        <f>IF(A17="",$O$7,(#REF!))</f>
        <v>#REF!</v>
      </c>
      <c r="G17" s="259"/>
      <c r="H17" s="494" t="e">
        <f>IF(A17="",$O$7,(#REF!))</f>
        <v>#REF!</v>
      </c>
      <c r="I17" s="494"/>
      <c r="J17" s="494"/>
      <c r="K17" s="259" t="e">
        <f>IF(A17="",$O$7,(#REF!))</f>
        <v>#REF!</v>
      </c>
    </row>
    <row r="18" spans="1:11" ht="15.75" customHeight="1" x14ac:dyDescent="0.25">
      <c r="A18" s="36" t="e">
        <f>#REF!</f>
        <v>#REF!</v>
      </c>
      <c r="B18" s="36" t="e">
        <f>IF(A18="","",(#REF!))</f>
        <v>#REF!</v>
      </c>
      <c r="C18" s="494" t="e">
        <f>IF(#REF!="x",'Tabulka finále'!A48,(IF(A18="",$O$7,(#REF!))))</f>
        <v>#REF!</v>
      </c>
      <c r="D18" s="494"/>
      <c r="E18" s="494"/>
      <c r="F18" s="259" t="e">
        <f>IF(A18="",$O$7,(#REF!))</f>
        <v>#REF!</v>
      </c>
      <c r="G18" s="259"/>
      <c r="H18" s="494" t="e">
        <f>IF(A18="",$O$7,(#REF!))</f>
        <v>#REF!</v>
      </c>
      <c r="I18" s="494"/>
      <c r="J18" s="494"/>
      <c r="K18" s="259" t="e">
        <f>IF(A18="",$O$7,(#REF!))</f>
        <v>#REF!</v>
      </c>
    </row>
    <row r="19" spans="1:11" ht="15.75" customHeight="1" x14ac:dyDescent="0.25">
      <c r="A19" s="36" t="e">
        <f>#REF!</f>
        <v>#REF!</v>
      </c>
      <c r="B19" s="36" t="e">
        <f>IF(A19="","",(#REF!))</f>
        <v>#REF!</v>
      </c>
      <c r="C19" s="494" t="e">
        <f>IF(#REF!="x",'Tabulka finále'!A49,(IF(A19="",$O$7,(#REF!))))</f>
        <v>#REF!</v>
      </c>
      <c r="D19" s="494"/>
      <c r="E19" s="494"/>
      <c r="F19" s="259" t="e">
        <f>IF(A19="",$O$7,(#REF!))</f>
        <v>#REF!</v>
      </c>
      <c r="G19" s="259"/>
      <c r="H19" s="494" t="e">
        <f>IF(A19="",$O$7,(#REF!))</f>
        <v>#REF!</v>
      </c>
      <c r="I19" s="494"/>
      <c r="J19" s="494"/>
      <c r="K19" s="259" t="e">
        <f>IF(A19="",$O$7,(#REF!))</f>
        <v>#REF!</v>
      </c>
    </row>
    <row r="20" spans="1:11" ht="15.75" customHeight="1" x14ac:dyDescent="0.25">
      <c r="A20" s="36" t="e">
        <f>#REF!</f>
        <v>#REF!</v>
      </c>
      <c r="B20" s="36" t="e">
        <f>IF(A20="","",(#REF!))</f>
        <v>#REF!</v>
      </c>
      <c r="C20" s="494" t="e">
        <f>IF(#REF!="x",'Tabulka finále'!A50,(IF(A20="",$O$7,(#REF!))))</f>
        <v>#REF!</v>
      </c>
      <c r="D20" s="494"/>
      <c r="E20" s="494"/>
      <c r="F20" s="259" t="e">
        <f>IF(A20="",$O$7,(#REF!))</f>
        <v>#REF!</v>
      </c>
      <c r="G20" s="259"/>
      <c r="H20" s="494" t="e">
        <f>IF(A20="",$O$7,(#REF!))</f>
        <v>#REF!</v>
      </c>
      <c r="I20" s="494"/>
      <c r="J20" s="494"/>
      <c r="K20" s="259" t="e">
        <f>IF(A20="",$O$7,(#REF!))</f>
        <v>#REF!</v>
      </c>
    </row>
    <row r="21" spans="1:11" ht="15.75" customHeight="1" x14ac:dyDescent="0.25">
      <c r="A21" s="36" t="e">
        <f>#REF!</f>
        <v>#REF!</v>
      </c>
      <c r="B21" s="36" t="e">
        <f>IF(A21="","",(#REF!))</f>
        <v>#REF!</v>
      </c>
      <c r="C21" s="494" t="e">
        <f>IF(#REF!="x",'Tabulka finále'!A51,(IF(A21="",$O$7,(#REF!))))</f>
        <v>#REF!</v>
      </c>
      <c r="D21" s="494"/>
      <c r="E21" s="494"/>
      <c r="F21" s="259" t="e">
        <f>IF(A21="",$O$7,(#REF!))</f>
        <v>#REF!</v>
      </c>
      <c r="G21" s="259"/>
      <c r="H21" s="494" t="e">
        <f>IF(A21="",$O$7,(#REF!))</f>
        <v>#REF!</v>
      </c>
      <c r="I21" s="494"/>
      <c r="J21" s="494"/>
      <c r="K21" s="259" t="e">
        <f>IF(A21="",$O$7,(#REF!))</f>
        <v>#REF!</v>
      </c>
    </row>
    <row r="22" spans="1:11" ht="15.75" customHeight="1" x14ac:dyDescent="0.25">
      <c r="A22" s="36" t="e">
        <f>#REF!</f>
        <v>#REF!</v>
      </c>
      <c r="B22" s="36" t="e">
        <f>IF(A22="","",(#REF!))</f>
        <v>#REF!</v>
      </c>
      <c r="C22" s="494" t="e">
        <f>IF(#REF!="x",'Tabulka finále'!A52,(IF(A22="",$O$7,(#REF!))))</f>
        <v>#REF!</v>
      </c>
      <c r="D22" s="494"/>
      <c r="E22" s="494"/>
      <c r="F22" s="259" t="e">
        <f>IF(A22="",$O$7,(#REF!))</f>
        <v>#REF!</v>
      </c>
      <c r="G22" s="259"/>
      <c r="H22" s="494" t="e">
        <f>IF(A22="",$O$7,(#REF!))</f>
        <v>#REF!</v>
      </c>
      <c r="I22" s="494"/>
      <c r="J22" s="494"/>
      <c r="K22" s="259" t="e">
        <f>IF(A22="",$O$7,(#REF!))</f>
        <v>#REF!</v>
      </c>
    </row>
    <row r="23" spans="1:11" ht="15.75" customHeight="1" x14ac:dyDescent="0.25">
      <c r="A23" s="36" t="e">
        <f>#REF!</f>
        <v>#REF!</v>
      </c>
      <c r="B23" s="36" t="e">
        <f>IF(A23="","",(#REF!))</f>
        <v>#REF!</v>
      </c>
      <c r="C23" s="494" t="e">
        <f>IF(#REF!="x",'Tabulka finále'!A53,(IF(A23="",$O$7,(#REF!))))</f>
        <v>#REF!</v>
      </c>
      <c r="D23" s="494"/>
      <c r="E23" s="494"/>
      <c r="F23" s="259" t="e">
        <f>IF(A23="",$O$7,(#REF!))</f>
        <v>#REF!</v>
      </c>
      <c r="G23" s="259"/>
      <c r="H23" s="494" t="e">
        <f>IF(A23="",$O$7,(#REF!))</f>
        <v>#REF!</v>
      </c>
      <c r="I23" s="494"/>
      <c r="J23" s="494"/>
      <c r="K23" s="259" t="e">
        <f>IF(A23="",$O$7,(#REF!))</f>
        <v>#REF!</v>
      </c>
    </row>
    <row r="24" spans="1:11" ht="15.75" customHeight="1" x14ac:dyDescent="0.25">
      <c r="A24" s="36" t="e">
        <f>#REF!</f>
        <v>#REF!</v>
      </c>
      <c r="B24" s="36" t="e">
        <f>IF(A24="","",(#REF!))</f>
        <v>#REF!</v>
      </c>
      <c r="C24" s="494" t="e">
        <f>IF(#REF!="x",'Tabulka finále'!A54,(IF(A24="",$O$7,(#REF!))))</f>
        <v>#REF!</v>
      </c>
      <c r="D24" s="494"/>
      <c r="E24" s="494"/>
      <c r="F24" s="259" t="e">
        <f>IF(A24="",$O$7,(#REF!))</f>
        <v>#REF!</v>
      </c>
      <c r="G24" s="259"/>
      <c r="H24" s="494" t="e">
        <f>IF(A24="",$O$7,(#REF!))</f>
        <v>#REF!</v>
      </c>
      <c r="I24" s="494"/>
      <c r="J24" s="494"/>
      <c r="K24" s="259" t="e">
        <f>IF(A24="",$O$7,(#REF!))</f>
        <v>#REF!</v>
      </c>
    </row>
    <row r="25" spans="1:11" x14ac:dyDescent="0.25">
      <c r="B25" s="36"/>
      <c r="C25" s="495"/>
      <c r="D25" s="495"/>
      <c r="E25" s="495"/>
      <c r="F25" s="67"/>
      <c r="G25" s="67"/>
      <c r="H25" s="495"/>
      <c r="I25" s="495"/>
      <c r="J25" s="495"/>
      <c r="K25" s="67"/>
    </row>
    <row r="26" spans="1:11" x14ac:dyDescent="0.25">
      <c r="B26" s="36"/>
      <c r="C26" s="495"/>
      <c r="D26" s="495"/>
      <c r="E26" s="495"/>
      <c r="F26" s="67"/>
      <c r="G26" s="67"/>
      <c r="H26" s="495"/>
      <c r="I26" s="495"/>
      <c r="J26" s="495"/>
      <c r="K26" s="67"/>
    </row>
    <row r="27" spans="1:11" x14ac:dyDescent="0.25">
      <c r="B27" s="36"/>
      <c r="C27" s="495"/>
      <c r="D27" s="495"/>
      <c r="E27" s="495"/>
      <c r="F27" s="67"/>
      <c r="G27" s="67"/>
      <c r="H27" s="495"/>
      <c r="I27" s="495"/>
      <c r="J27" s="495"/>
      <c r="K27" s="67"/>
    </row>
    <row r="28" spans="1:11" x14ac:dyDescent="0.25">
      <c r="B28" s="36"/>
      <c r="C28" s="495"/>
      <c r="D28" s="495"/>
      <c r="E28" s="495"/>
      <c r="F28" s="67"/>
      <c r="G28" s="67"/>
      <c r="H28" s="495"/>
      <c r="I28" s="495"/>
      <c r="J28" s="495"/>
      <c r="K28" s="67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2024-01-27T15:47:54Z</cp:lastPrinted>
  <dcterms:created xsi:type="dcterms:W3CDTF">2002-01-25T08:02:23Z</dcterms:created>
  <dcterms:modified xsi:type="dcterms:W3CDTF">2024-01-28T12:42:13Z</dcterms:modified>
</cp:coreProperties>
</file>