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35A4BA16-C271-4F8B-A6D1-8C8C76B4E7B6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GP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JV39" i="4" l="1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GF18" i="1" s="1"/>
  <c r="GE18" i="1" s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O10" i="1" s="1"/>
  <c r="BY11" i="1"/>
  <c r="BZ12" i="1" s="1"/>
  <c r="CK11" i="1"/>
  <c r="CW11" i="1"/>
  <c r="EK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BV12" i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EJ11" i="1" l="1"/>
  <c r="BH12" i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S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FT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GT10" i="1"/>
  <c r="GS10" i="1" s="1"/>
  <c r="GR10" i="1" s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E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D11" i="1" l="1"/>
  <c r="GQ10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4" i="21" l="1"/>
  <c r="A23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H24" i="21"/>
  <c r="F24" i="21"/>
  <c r="K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H21" i="21"/>
  <c r="B21" i="21"/>
  <c r="K21" i="21"/>
  <c r="F21" i="21"/>
  <c r="A20" i="21"/>
  <c r="A19" i="21"/>
  <c r="A17" i="21"/>
  <c r="AI168" i="4"/>
  <c r="AJ72" i="4" s="1"/>
  <c r="AI169" i="4"/>
  <c r="AJ73" i="4" s="1"/>
  <c r="DM94" i="11"/>
  <c r="BB109" i="11"/>
  <c r="FT53" i="4"/>
  <c r="C20" i="21" l="1"/>
  <c r="H20" i="21"/>
  <c r="F20" i="21"/>
  <c r="K20" i="21"/>
  <c r="B20" i="21"/>
  <c r="C19" i="21"/>
  <c r="K19" i="21"/>
  <c r="B19" i="21"/>
  <c r="H19" i="21"/>
  <c r="F19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B47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EC43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DP102" i="4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DJ101" i="4"/>
  <c r="CO50" i="4"/>
  <c r="CD50" i="4"/>
  <c r="DQ109" i="4"/>
  <c r="DW109" i="4" s="1"/>
  <c r="GH121" i="11" s="1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H18" i="21"/>
  <c r="K18" i="21"/>
  <c r="B18" i="21"/>
  <c r="F18" i="2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H41" i="4"/>
  <c r="CI41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E43" i="4"/>
  <c r="CP13" i="4"/>
  <c r="CR13" i="4" s="1"/>
  <c r="DJ11" i="4"/>
  <c r="C19" i="4"/>
  <c r="BR13" i="4"/>
  <c r="DW87" i="4"/>
  <c r="C21" i="4"/>
  <c r="BR14" i="4"/>
  <c r="DW88" i="4"/>
  <c r="BX65" i="4"/>
  <c r="BY64" i="4"/>
  <c r="CE45" i="4" l="1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H40" i="4" s="1"/>
  <c r="CI40" i="4" s="1"/>
  <c r="CK35" i="4" s="1"/>
  <c r="CK39" i="4" s="1"/>
  <c r="CM44" i="4" s="1"/>
  <c r="CP44" i="4" s="1"/>
  <c r="CR44" i="4" s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EE11" i="4" l="1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9" i="4" l="1"/>
  <c r="EB9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N13" i="4" s="1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DT13" i="4"/>
  <c r="DV19" i="4" s="1"/>
  <c r="K19" i="4" s="1"/>
  <c r="CE87" i="4" s="1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DT21" i="4"/>
  <c r="DV35" i="4" s="1"/>
  <c r="K35" i="4" s="1"/>
  <c r="L120" i="4" s="1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A13" i="21"/>
  <c r="C15" i="21"/>
  <c r="B15" i="21"/>
  <c r="K15" i="21"/>
  <c r="F15" i="21"/>
  <c r="H15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3" i="21" l="1"/>
  <c r="H13" i="21"/>
  <c r="B13" i="21"/>
  <c r="K13" i="21"/>
  <c r="F13" i="21"/>
  <c r="C16" i="21"/>
  <c r="B16" i="21"/>
  <c r="H16" i="21"/>
  <c r="F16" i="21"/>
  <c r="K16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40" i="4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X50" i="4" s="1"/>
  <c r="FZ60" i="4" s="1"/>
  <c r="N60" i="4" s="1"/>
  <c r="O144" i="4" s="1"/>
  <c r="FW40" i="4"/>
  <c r="FW52" i="4"/>
  <c r="FW42" i="4"/>
  <c r="FW45" i="4"/>
  <c r="FW43" i="4"/>
  <c r="FW46" i="4"/>
  <c r="FW54" i="4"/>
  <c r="FP48" i="4"/>
  <c r="FW44" i="4"/>
  <c r="FW48" i="4"/>
  <c r="FW51" i="4"/>
  <c r="FW55" i="4"/>
  <c r="FX55" i="4" s="1"/>
  <c r="FZ70" i="4" s="1"/>
  <c r="N70" i="4" s="1"/>
  <c r="O154" i="4" s="1"/>
  <c r="FW47" i="4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X47" i="4" l="1"/>
  <c r="FZ54" i="4" s="1"/>
  <c r="N54" i="4" s="1"/>
  <c r="GG47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0" i="4"/>
  <c r="FZ40" i="4" s="1"/>
  <c r="N40" i="4" s="1"/>
  <c r="O124" i="4" s="1"/>
  <c r="FX49" i="4"/>
  <c r="FZ58" i="4" s="1"/>
  <c r="N58" i="4" s="1"/>
  <c r="O141" i="4" s="1"/>
  <c r="CH112" i="4"/>
  <c r="FX14" i="4"/>
  <c r="FZ21" i="4" s="1"/>
  <c r="N21" i="4" s="1"/>
  <c r="FR40" i="4"/>
  <c r="FR22" i="4"/>
  <c r="AO22" i="4" s="1"/>
  <c r="AO104" i="4" s="1"/>
  <c r="FR15" i="4"/>
  <c r="AO15" i="4" s="1"/>
  <c r="AO97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44" i="4"/>
  <c r="HI10" i="4"/>
  <c r="AO9" i="4" l="1"/>
  <c r="AO91" i="4" s="1"/>
  <c r="FV9" i="4"/>
  <c r="FX9" i="4" s="1"/>
  <c r="FZ11" i="4" s="1"/>
  <c r="N11" i="4" s="1"/>
  <c r="O96" i="4" s="1"/>
  <c r="FV8" i="4"/>
  <c r="FX8" i="4" s="1"/>
  <c r="FZ9" i="4" s="1"/>
  <c r="N9" i="4" s="1"/>
  <c r="FV7" i="4"/>
  <c r="FX7" i="4" s="1"/>
  <c r="FZ7" i="4" s="1"/>
  <c r="N7" i="4" s="1"/>
  <c r="GG7" i="4" s="1"/>
  <c r="HI8" i="4" s="1"/>
  <c r="AO8" i="4"/>
  <c r="AO90" i="4" s="1"/>
  <c r="AN158" i="4" s="1"/>
  <c r="AO62" i="4" s="1"/>
  <c r="AO40" i="4"/>
  <c r="AO105" i="4" s="1"/>
  <c r="AN159" i="4" s="1"/>
  <c r="AO63" i="4" s="1"/>
  <c r="FV41" i="4"/>
  <c r="FX41" i="4" s="1"/>
  <c r="FZ42" i="4" s="1"/>
  <c r="N42" i="4" s="1"/>
  <c r="O125" i="4" s="1"/>
  <c r="AO7" i="4"/>
  <c r="AO89" i="4" s="1"/>
  <c r="FV10" i="4"/>
  <c r="FX10" i="4" s="1"/>
  <c r="FZ13" i="4" s="1"/>
  <c r="N13" i="4" s="1"/>
  <c r="CH84" i="4" s="1"/>
  <c r="FV42" i="4"/>
  <c r="FX42" i="4" s="1"/>
  <c r="FZ44" i="4" s="1"/>
  <c r="N44" i="4" s="1"/>
  <c r="AO42" i="4"/>
  <c r="AO107" i="4" s="1"/>
  <c r="O118" i="4"/>
  <c r="CH97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GG10" i="4"/>
  <c r="HI7" i="4" s="1"/>
  <c r="O104" i="4"/>
  <c r="O113" i="4"/>
  <c r="A11" i="21"/>
  <c r="C11" i="21" s="1"/>
  <c r="GG13" i="4"/>
  <c r="O149" i="4"/>
  <c r="O103" i="4"/>
  <c r="O123" i="4"/>
  <c r="O98" i="4"/>
  <c r="O97" i="4"/>
  <c r="GG41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HI9" i="4" s="1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CH82" i="4"/>
  <c r="GG8" i="4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CH98" i="4" l="1"/>
  <c r="O126" i="4"/>
  <c r="HI40" i="4"/>
  <c r="H10" i="21"/>
  <c r="K10" i="21"/>
  <c r="H11" i="21"/>
  <c r="B11" i="21"/>
  <c r="K11" i="21"/>
  <c r="F11" i="21"/>
  <c r="B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R16" i="4" s="1"/>
  <c r="HO21" i="4"/>
  <c r="HQ21" i="4"/>
  <c r="HO7" i="4"/>
  <c r="HQ7" i="4"/>
  <c r="HQ40" i="4"/>
  <c r="HO40" i="4"/>
  <c r="HS40" i="4" s="1"/>
  <c r="HO43" i="4"/>
  <c r="HQ43" i="4"/>
  <c r="HQ11" i="4"/>
  <c r="HO11" i="4"/>
  <c r="HO9" i="4"/>
  <c r="HQ9" i="4"/>
  <c r="HQ54" i="4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54" i="4" l="1"/>
  <c r="AR40" i="4"/>
  <c r="AR105" i="4" s="1"/>
  <c r="AR158" i="4" s="1"/>
  <c r="AS62" i="4" s="1"/>
  <c r="AR9" i="4"/>
  <c r="AR91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S7" i="4" l="1"/>
  <c r="C12" i="2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HX7" i="4" l="1"/>
  <c r="HY7" i="4"/>
  <c r="IM7" i="4"/>
  <c r="HT7" i="4"/>
  <c r="IF7" i="4"/>
  <c r="IG7" i="4" s="1"/>
  <c r="IC7" i="4"/>
  <c r="IT7" i="4"/>
  <c r="IA7" i="4"/>
  <c r="HZ7" i="4"/>
  <c r="IJ7" i="4"/>
  <c r="IU8" i="4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U7" i="4" l="1"/>
  <c r="IX7" i="4"/>
  <c r="IV7" i="4"/>
  <c r="IW7" i="4"/>
  <c r="IZ7" i="4"/>
  <c r="JB7" i="4" s="1"/>
  <c r="JC21" i="4" s="1"/>
  <c r="JD21" i="4" s="1"/>
  <c r="IN41" i="4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HU41" i="4"/>
  <c r="IL41" i="4" s="1"/>
  <c r="IN42" i="4" s="1"/>
  <c r="IP44" i="4" s="1"/>
  <c r="Q44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IN10" i="4" s="1"/>
  <c r="IP13" i="4" s="1"/>
  <c r="Q13" i="4" s="1"/>
  <c r="GH10" i="4" s="1"/>
  <c r="HU7" i="4"/>
  <c r="IL7" i="4" s="1"/>
  <c r="IN9" i="4" s="1"/>
  <c r="IP11" i="4" s="1"/>
  <c r="Q11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GH42" i="4"/>
  <c r="CK99" i="4"/>
  <c r="R128" i="4"/>
  <c r="CK84" i="4"/>
  <c r="R97" i="4"/>
  <c r="IL42" i="4"/>
  <c r="IE41" i="4"/>
  <c r="IH41" i="4" s="1"/>
  <c r="AU41" i="4" s="1"/>
  <c r="IE40" i="4"/>
  <c r="IH40" i="4" s="1"/>
  <c r="AU40" i="4" s="1"/>
  <c r="R98" i="4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H41" i="4" s="1"/>
  <c r="JO41" i="4" s="1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IN55" i="4" l="1"/>
  <c r="IP70" i="4" s="1"/>
  <c r="Q70" i="4" s="1"/>
  <c r="IN53" i="4"/>
  <c r="IP66" i="4" s="1"/>
  <c r="Q66" i="4" s="1"/>
  <c r="IN45" i="4"/>
  <c r="IP50" i="4" s="1"/>
  <c r="Q50" i="4" s="1"/>
  <c r="IN52" i="4"/>
  <c r="IP64" i="4" s="1"/>
  <c r="Q64" i="4" s="1"/>
  <c r="IN46" i="4"/>
  <c r="IP52" i="4" s="1"/>
  <c r="Q52" i="4" s="1"/>
  <c r="IN48" i="4"/>
  <c r="IP56" i="4" s="1"/>
  <c r="Q56" i="4" s="1"/>
  <c r="IN50" i="4"/>
  <c r="IP60" i="4" s="1"/>
  <c r="Q60" i="4" s="1"/>
  <c r="IN51" i="4"/>
  <c r="IP62" i="4" s="1"/>
  <c r="Q62" i="4" s="1"/>
  <c r="IN43" i="4"/>
  <c r="IP46" i="4" s="1"/>
  <c r="Q46" i="4" s="1"/>
  <c r="IN49" i="4"/>
  <c r="IP58" i="4" s="1"/>
  <c r="Q58" i="4" s="1"/>
  <c r="IN54" i="4"/>
  <c r="IP68" i="4" s="1"/>
  <c r="Q68" i="4" s="1"/>
  <c r="IN44" i="4"/>
  <c r="IP48" i="4" s="1"/>
  <c r="Q48" i="4" s="1"/>
  <c r="IN47" i="4"/>
  <c r="IP54" i="4" s="1"/>
  <c r="Q54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JH7" i="4"/>
  <c r="JN7" i="4" s="1"/>
  <c r="R145" i="4"/>
  <c r="R146" i="4"/>
  <c r="GH51" i="4"/>
  <c r="CK108" i="4"/>
  <c r="R143" i="4"/>
  <c r="R144" i="4"/>
  <c r="CK107" i="4"/>
  <c r="GH50" i="4"/>
  <c r="R139" i="4"/>
  <c r="GH48" i="4"/>
  <c r="R140" i="4"/>
  <c r="CK105" i="4"/>
  <c r="CK104" i="4"/>
  <c r="GH47" i="4"/>
  <c r="R137" i="4"/>
  <c r="R138" i="4"/>
  <c r="R135" i="4"/>
  <c r="CK103" i="4"/>
  <c r="R136" i="4"/>
  <c r="GH46" i="4"/>
  <c r="R132" i="4"/>
  <c r="R131" i="4"/>
  <c r="GH44" i="4"/>
  <c r="CK101" i="4"/>
  <c r="R147" i="4"/>
  <c r="GH52" i="4"/>
  <c r="CK109" i="4"/>
  <c r="R148" i="4"/>
  <c r="R151" i="4"/>
  <c r="CK111" i="4"/>
  <c r="R152" i="4"/>
  <c r="GH54" i="4"/>
  <c r="GH45" i="4"/>
  <c r="IY44" i="4" s="1"/>
  <c r="R134" i="4"/>
  <c r="R133" i="4"/>
  <c r="CK102" i="4"/>
  <c r="GH49" i="4"/>
  <c r="CK106" i="4"/>
  <c r="R142" i="4"/>
  <c r="R141" i="4"/>
  <c r="R149" i="4"/>
  <c r="R150" i="4"/>
  <c r="CK110" i="4"/>
  <c r="GH53" i="4"/>
  <c r="CK100" i="4"/>
  <c r="GH43" i="4"/>
  <c r="R130" i="4"/>
  <c r="R129" i="4"/>
  <c r="R154" i="4"/>
  <c r="CK112" i="4"/>
  <c r="GH55" i="4"/>
  <c r="R153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JT9" i="4" l="1"/>
  <c r="R89" i="4"/>
  <c r="T5" i="4" s="1"/>
  <c r="AY44" i="4" s="1"/>
  <c r="AY109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AW41" i="4" l="1"/>
  <c r="AW106" i="4" s="1"/>
  <c r="AZ18" i="4"/>
  <c r="AZ50" i="4"/>
  <c r="BC6" i="4"/>
  <c r="BC88" i="4" s="1"/>
  <c r="AW14" i="4"/>
  <c r="AW96" i="4" s="1"/>
  <c r="AW49" i="4"/>
  <c r="AW114" i="4" s="1"/>
  <c r="AZ51" i="4"/>
  <c r="AW13" i="4"/>
  <c r="AW95" i="4" s="1"/>
  <c r="AW17" i="4"/>
  <c r="AW99" i="4" s="1"/>
  <c r="AW48" i="4"/>
  <c r="AW113" i="4" s="1"/>
  <c r="AW9" i="4"/>
  <c r="AW91" i="4" s="1"/>
  <c r="BC39" i="4"/>
  <c r="T62" i="4"/>
  <c r="AW10" i="4"/>
  <c r="AW92" i="4" s="1"/>
  <c r="AZ14" i="4"/>
  <c r="AW50" i="4"/>
  <c r="AW115" i="4" s="1"/>
  <c r="AW6" i="4"/>
  <c r="AW88" i="4" s="1"/>
  <c r="T66" i="4"/>
  <c r="AW15" i="4"/>
  <c r="AW97" i="4" s="1"/>
  <c r="T58" i="4"/>
  <c r="T60" i="4"/>
  <c r="T54" i="4"/>
  <c r="T68" i="4"/>
  <c r="T46" i="4"/>
  <c r="AW51" i="4"/>
  <c r="AW116" i="4" s="1"/>
  <c r="T70" i="4"/>
  <c r="AW43" i="4"/>
  <c r="AW108" i="4" s="1"/>
  <c r="AW46" i="4"/>
  <c r="AW111" i="4" s="1"/>
  <c r="AW16" i="4"/>
  <c r="AW98" i="4" s="1"/>
  <c r="T64" i="4"/>
  <c r="T56" i="4"/>
  <c r="AZ15" i="4"/>
  <c r="T44" i="4"/>
  <c r="BB39" i="4"/>
  <c r="AW40" i="4"/>
  <c r="AW42" i="4"/>
  <c r="AW107" i="4" s="1"/>
  <c r="AW11" i="4"/>
  <c r="AW93" i="4" s="1"/>
  <c r="AW45" i="4"/>
  <c r="AW110" i="4" s="1"/>
  <c r="AX6" i="4"/>
  <c r="AX88" i="4" s="1"/>
  <c r="AW12" i="4"/>
  <c r="AW94" i="4" s="1"/>
  <c r="AW7" i="4"/>
  <c r="AW89" i="4" s="1"/>
  <c r="BB6" i="4"/>
  <c r="BB88" i="4" s="1"/>
  <c r="AW44" i="4"/>
  <c r="AW109" i="4" s="1"/>
  <c r="AZ13" i="4"/>
  <c r="AW8" i="4"/>
  <c r="AW90" i="4" s="1"/>
  <c r="AW47" i="4"/>
  <c r="AW112" i="4" s="1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KD8" i="4" s="1"/>
  <c r="KF9" i="4" s="1"/>
  <c r="T9" i="4" s="1"/>
  <c r="JJ10" i="4"/>
  <c r="KB10" i="4" s="1"/>
  <c r="JJ16" i="4"/>
  <c r="KB16" i="4" s="1"/>
  <c r="AY16" i="4" s="1"/>
  <c r="AY98" i="4" s="1"/>
  <c r="JJ9" i="4"/>
  <c r="KB9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KP40" i="4" s="1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8" i="4"/>
  <c r="JX8" i="4" s="1"/>
  <c r="AZ8" i="4" s="1"/>
  <c r="JU10" i="4"/>
  <c r="JX10" i="4" s="1"/>
  <c r="AZ10" i="4" s="1"/>
  <c r="JU7" i="4"/>
  <c r="JX7" i="4" s="1"/>
  <c r="AZ7" i="4" s="1"/>
  <c r="JU9" i="4" l="1"/>
  <c r="JX9" i="4" s="1"/>
  <c r="AZ9" i="4" s="1"/>
  <c r="GI43" i="4"/>
  <c r="U129" i="4"/>
  <c r="CN100" i="4"/>
  <c r="U130" i="4"/>
  <c r="U140" i="4"/>
  <c r="U139" i="4"/>
  <c r="GI48" i="4"/>
  <c r="CN105" i="4"/>
  <c r="U152" i="4"/>
  <c r="U151" i="4"/>
  <c r="GI54" i="4"/>
  <c r="CN111" i="4"/>
  <c r="GI52" i="4"/>
  <c r="U148" i="4"/>
  <c r="CN109" i="4"/>
  <c r="U147" i="4"/>
  <c r="GI47" i="4"/>
  <c r="U137" i="4"/>
  <c r="CN104" i="4"/>
  <c r="U138" i="4"/>
  <c r="CN107" i="4"/>
  <c r="GI50" i="4"/>
  <c r="U143" i="4"/>
  <c r="U144" i="4"/>
  <c r="U145" i="4"/>
  <c r="U146" i="4"/>
  <c r="CN108" i="4"/>
  <c r="GI51" i="4"/>
  <c r="U141" i="4"/>
  <c r="GI49" i="4"/>
  <c r="CN106" i="4"/>
  <c r="U142" i="4"/>
  <c r="AY40" i="4"/>
  <c r="AY105" i="4" s="1"/>
  <c r="AX158" i="4" s="1"/>
  <c r="AY62" i="4" s="1"/>
  <c r="AW105" i="4"/>
  <c r="AW158" i="4" s="1"/>
  <c r="AX62" i="4" s="1"/>
  <c r="U153" i="4"/>
  <c r="GI55" i="4"/>
  <c r="CN112" i="4"/>
  <c r="U154" i="4"/>
  <c r="U149" i="4"/>
  <c r="CN110" i="4"/>
  <c r="GI53" i="4"/>
  <c r="U150" i="4"/>
  <c r="U127" i="4"/>
  <c r="GI42" i="4"/>
  <c r="CN99" i="4"/>
  <c r="U128" i="4"/>
  <c r="AY9" i="4"/>
  <c r="AY91" i="4" s="1"/>
  <c r="KD10" i="4"/>
  <c r="KF13" i="4" s="1"/>
  <c r="T13" i="4" s="1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GI10" i="4" l="1"/>
  <c r="U98" i="4"/>
  <c r="CN84" i="4"/>
  <c r="U97" i="4"/>
  <c r="LE42" i="4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K9" i="4" s="1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EA83" i="4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BD9" i="4" l="1"/>
  <c r="BD91" i="4" s="1"/>
  <c r="LU10" i="4"/>
  <c r="LW13" i="4" s="1"/>
  <c r="GG96" i="1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0" i="4"/>
  <c r="HF80" i="4" s="1"/>
  <c r="AC7" i="4" s="1"/>
  <c r="HB82" i="4"/>
  <c r="HF84" i="4" s="1"/>
  <c r="AC11" i="4" s="1"/>
  <c r="EC97" i="4" l="1"/>
  <c r="EG97" i="4" s="1"/>
  <c r="EJ97" i="4" s="1"/>
  <c r="EL97" i="4" s="1"/>
  <c r="EA105" i="4"/>
  <c r="EC105" i="4"/>
  <c r="EG105" i="4" s="1"/>
  <c r="EJ105" i="4" s="1"/>
  <c r="DR83" i="4"/>
  <c r="GI95" i="11" s="1"/>
  <c r="GJ95" i="11" s="1"/>
  <c r="EM83" i="4"/>
  <c r="EN83" i="4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1" i="4" l="1"/>
  <c r="HF82" i="4" s="1"/>
  <c r="AC9" i="4" s="1"/>
  <c r="EM82" i="4" s="1"/>
  <c r="EN82" i="4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DR82" i="4" l="1"/>
  <c r="GI94" i="11" s="1"/>
  <c r="GJ94" i="11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X138" i="4"/>
  <c r="EA138" i="4" s="1"/>
  <c r="BC35" i="11"/>
  <c r="CG37" i="11"/>
  <c r="DN122" i="4" s="1"/>
  <c r="DR118" i="4" s="1"/>
  <c r="DX118" i="4" s="1"/>
  <c r="EA118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S118" i="4" l="1"/>
  <c r="DU118" i="4" s="1"/>
  <c r="EB118" i="4" s="1"/>
  <c r="CE53" i="11"/>
  <c r="K46" i="11" s="1"/>
  <c r="EB138" i="4"/>
  <c r="DR135" i="4"/>
  <c r="HM96" i="11"/>
  <c r="HN96" i="11" s="1"/>
  <c r="EB140" i="4"/>
  <c r="CF53" i="11" l="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U93" i="11" s="1"/>
  <c r="IA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HU98" i="11" l="1"/>
  <c r="K38" i="11" s="1"/>
  <c r="CG36" i="11"/>
  <c r="DN121" i="4" s="1"/>
  <c r="G5" i="3"/>
  <c r="HO118" i="11"/>
  <c r="HQ118" i="11" s="1"/>
  <c r="HP117" i="11"/>
  <c r="HP98" i="11"/>
  <c r="HO94" i="11"/>
  <c r="HQ94" i="11" s="1"/>
  <c r="HU94" i="11" s="1"/>
  <c r="IA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DR134" i="4" l="1"/>
  <c r="DS134" i="4" s="1"/>
  <c r="DU134" i="4" s="1"/>
  <c r="DR136" i="4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DS136" i="4" l="1"/>
  <c r="DU136" i="4" s="1"/>
  <c r="DX136" i="4"/>
  <c r="EA136" i="4" s="1"/>
  <c r="CG33" i="11"/>
  <c r="DN118" i="4" s="1"/>
  <c r="DR121" i="4" s="1"/>
  <c r="P10" i="3"/>
  <c r="EB134" i="4"/>
  <c r="HX97" i="11"/>
  <c r="HW97" i="11"/>
  <c r="DS121" i="4" l="1"/>
  <c r="DU121" i="4" s="1"/>
  <c r="DX121" i="4"/>
  <c r="EA121" i="4" s="1"/>
  <c r="EB136" i="4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EB121" i="4" l="1"/>
  <c r="DS120" i="4"/>
  <c r="DU120" i="4" s="1"/>
  <c r="EB120" i="4" s="1"/>
  <c r="DS119" i="4"/>
  <c r="DU119" i="4" s="1"/>
  <c r="DX119" i="4"/>
  <c r="EA119" i="4" s="1"/>
  <c r="EB119" i="4" l="1"/>
  <c r="EF123" i="4" s="1"/>
  <c r="EF130" i="4"/>
  <c r="EF145" i="4" l="1"/>
  <c r="EF121" i="4"/>
  <c r="EF148" i="4"/>
  <c r="EF127" i="4"/>
  <c r="EF144" i="4"/>
  <c r="EF146" i="4"/>
  <c r="EK146" i="4" s="1"/>
  <c r="EQ146" i="4" s="1"/>
  <c r="EO146" i="4" s="1"/>
  <c r="ER146" i="4" s="1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20" i="4"/>
  <c r="EK120" i="4" s="1"/>
  <c r="EQ120" i="4" s="1"/>
  <c r="EO120" i="4" s="1"/>
  <c r="ER120" i="4" s="1"/>
  <c r="EF128" i="4"/>
  <c r="EF126" i="4"/>
  <c r="EK126" i="4" s="1"/>
  <c r="EU126" i="4" s="1"/>
  <c r="EW126" i="4" s="1"/>
  <c r="EF147" i="4"/>
  <c r="EK147" i="4" s="1"/>
  <c r="EJ147" i="4" s="1"/>
  <c r="EF140" i="4"/>
  <c r="EK140" i="4" s="1"/>
  <c r="EQ140" i="4" s="1"/>
  <c r="EO140" i="4" s="1"/>
  <c r="ER140" i="4" s="1"/>
  <c r="EF139" i="4"/>
  <c r="EK139" i="4" s="1"/>
  <c r="EQ139" i="4" s="1"/>
  <c r="EO139" i="4" s="1"/>
  <c r="ER139" i="4" s="1"/>
  <c r="EF132" i="4"/>
  <c r="EK132" i="4" s="1"/>
  <c r="EU132" i="4" s="1"/>
  <c r="EW132" i="4" s="1"/>
  <c r="EF131" i="4"/>
  <c r="EK131" i="4" s="1"/>
  <c r="EJ131" i="4" s="1"/>
  <c r="EF141" i="4"/>
  <c r="EK141" i="4" s="1"/>
  <c r="EJ141" i="4" s="1"/>
  <c r="EF125" i="4"/>
  <c r="EF118" i="4"/>
  <c r="EF119" i="4"/>
  <c r="EI119" i="4" s="1"/>
  <c r="EF138" i="4"/>
  <c r="EK138" i="4" s="1"/>
  <c r="EQ138" i="4" s="1"/>
  <c r="EO138" i="4" s="1"/>
  <c r="ER138" i="4" s="1"/>
  <c r="EF137" i="4"/>
  <c r="EK137" i="4" s="1"/>
  <c r="EQ137" i="4" s="1"/>
  <c r="EO137" i="4" s="1"/>
  <c r="ER137" i="4" s="1"/>
  <c r="EF143" i="4"/>
  <c r="EK143" i="4" s="1"/>
  <c r="EJ143" i="4" s="1"/>
  <c r="EF136" i="4"/>
  <c r="EK136" i="4" s="1"/>
  <c r="EQ136" i="4" s="1"/>
  <c r="EO136" i="4" s="1"/>
  <c r="ER136" i="4" s="1"/>
  <c r="EF124" i="4"/>
  <c r="EK124" i="4" s="1"/>
  <c r="EU124" i="4" s="1"/>
  <c r="EF133" i="4"/>
  <c r="EF122" i="4"/>
  <c r="EK122" i="4" s="1"/>
  <c r="EJ122" i="4" s="1"/>
  <c r="EF142" i="4"/>
  <c r="EK142" i="4" s="1"/>
  <c r="EQ142" i="4" s="1"/>
  <c r="EO142" i="4" s="1"/>
  <c r="ER142" i="4" s="1"/>
  <c r="EF134" i="4"/>
  <c r="EK134" i="4" s="1"/>
  <c r="EJ134" i="4" s="1"/>
  <c r="EI120" i="4"/>
  <c r="EK144" i="4"/>
  <c r="EQ144" i="4" s="1"/>
  <c r="EO144" i="4" s="1"/>
  <c r="ER144" i="4" s="1"/>
  <c r="EK130" i="4"/>
  <c r="EU130" i="4" s="1"/>
  <c r="EW130" i="4" s="1"/>
  <c r="EK127" i="4"/>
  <c r="EJ127" i="4" s="1"/>
  <c r="EK123" i="4"/>
  <c r="EQ123" i="4" s="1"/>
  <c r="EO123" i="4" s="1"/>
  <c r="ER123" i="4" s="1"/>
  <c r="EI123" i="4"/>
  <c r="EK125" i="4"/>
  <c r="EU125" i="4" s="1"/>
  <c r="EW125" i="4" s="1"/>
  <c r="EK118" i="4"/>
  <c r="EU118" i="4" s="1"/>
  <c r="EW118" i="4" s="1"/>
  <c r="EI118" i="4"/>
  <c r="EK121" i="4"/>
  <c r="EI121" i="4"/>
  <c r="EK148" i="4"/>
  <c r="EQ148" i="4" s="1"/>
  <c r="EO148" i="4" s="1"/>
  <c r="ER148" i="4" s="1"/>
  <c r="EK145" i="4"/>
  <c r="EQ145" i="4" s="1"/>
  <c r="EO145" i="4" s="1"/>
  <c r="ER145" i="4" s="1"/>
  <c r="EK133" i="4"/>
  <c r="EJ133" i="4" s="1"/>
  <c r="EK128" i="4"/>
  <c r="EQ128" i="4" s="1"/>
  <c r="EO128" i="4" s="1"/>
  <c r="ER128" i="4" s="1"/>
  <c r="EJ126" i="4"/>
  <c r="EQ126" i="4"/>
  <c r="EO126" i="4" s="1"/>
  <c r="ER126" i="4" s="1"/>
  <c r="EI122" i="4" l="1"/>
  <c r="EL123" i="4" s="1"/>
  <c r="EJ135" i="4"/>
  <c r="EK119" i="4"/>
  <c r="EQ119" i="4" s="1"/>
  <c r="EO119" i="4" s="1"/>
  <c r="ER119" i="4" s="1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J119" i="4" l="1"/>
  <c r="EN119" i="4" s="1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30" i="4" l="1"/>
  <c r="FL120" i="4"/>
  <c r="FL126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C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C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C21" i="3" s="1"/>
  <c r="F12" i="3"/>
  <c r="A12" i="3" s="1"/>
  <c r="F34" i="3"/>
  <c r="A34" i="3" s="1"/>
  <c r="E34" i="3" s="1"/>
  <c r="F22" i="3"/>
  <c r="A22" i="3" s="1"/>
  <c r="B22" i="3" s="1"/>
  <c r="E19" i="3"/>
  <c r="C29" i="3"/>
  <c r="C41" i="3"/>
  <c r="E40" i="3"/>
  <c r="B40" i="3"/>
  <c r="B17" i="3"/>
  <c r="E11" i="3" l="1"/>
  <c r="C16" i="3"/>
  <c r="B10" i="3"/>
  <c r="C14" i="3"/>
  <c r="E13" i="3"/>
  <c r="E12" i="3"/>
  <c r="C15" i="3"/>
  <c r="B29" i="3"/>
  <c r="B27" i="3"/>
  <c r="E10" i="3"/>
  <c r="B39" i="3"/>
  <c r="E20" i="3"/>
  <c r="C20" i="3"/>
  <c r="B13" i="3"/>
  <c r="B19" i="3"/>
  <c r="C13" i="3"/>
  <c r="B26" i="3"/>
  <c r="E17" i="3"/>
  <c r="E27" i="3"/>
  <c r="C26" i="3"/>
  <c r="B18" i="3"/>
  <c r="E18" i="3"/>
  <c r="C28" i="3"/>
  <c r="B28" i="3"/>
  <c r="B14" i="3"/>
  <c r="C12" i="3"/>
  <c r="B11" i="3"/>
  <c r="B32" i="3"/>
  <c r="E32" i="3"/>
  <c r="E14" i="3"/>
  <c r="B12" i="3"/>
  <c r="E36" i="3"/>
  <c r="E23" i="3"/>
  <c r="B31" i="3"/>
  <c r="C23" i="3"/>
  <c r="E15" i="3"/>
  <c r="B37" i="3"/>
  <c r="B15" i="3"/>
  <c r="C22" i="3"/>
  <c r="B30" i="3"/>
  <c r="C10" i="3"/>
  <c r="B41" i="3"/>
  <c r="B35" i="3"/>
  <c r="C30" i="3"/>
  <c r="E35" i="3"/>
  <c r="C31" i="3"/>
  <c r="E37" i="3"/>
  <c r="E22" i="3"/>
  <c r="E39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B6" i="1" l="1"/>
  <c r="I6" i="1"/>
  <c r="C6" i="1"/>
</calcChain>
</file>

<file path=xl/sharedStrings.xml><?xml version="1.0" encoding="utf-8"?>
<sst xmlns="http://schemas.openxmlformats.org/spreadsheetml/2006/main" count="360" uniqueCount="89">
  <si>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</si>
  <si>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</si>
  <si>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</si>
  <si>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</si>
  <si>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</si>
  <si>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</si>
  <si>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</si>
  <si>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</si>
  <si>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</si>
  <si>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</si>
  <si>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</si>
  <si>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</si>
  <si>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</si>
  <si>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</si>
  <si>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</si>
  <si>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</si>
  <si>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</si>
  <si>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</si>
  <si>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</si>
  <si>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</si>
  <si>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</si>
  <si>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</si>
  <si>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</si>
  <si>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</si>
  <si>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</si>
  <si>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</si>
  <si>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</si>
  <si>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</si>
  <si>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</si>
  <si>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</si>
  <si>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</si>
  <si>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</si>
  <si>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</si>
  <si>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</si>
  <si>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</si>
  <si>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</si>
  <si>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</si>
  <si>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</si>
  <si>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</si>
  <si>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</si>
  <si>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</si>
  <si>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</si>
  <si>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</si>
  <si>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</si>
  <si>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</si>
  <si>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</si>
  <si>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</si>
  <si>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</si>
  <si>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</si>
  <si>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</si>
  <si>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</si>
  <si>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</si>
  <si>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</si>
  <si>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</si>
  <si>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</si>
  <si>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</si>
  <si>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</si>
  <si>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</si>
  <si>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</si>
  <si>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</si>
  <si>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</si>
  <si>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</si>
  <si>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</si>
  <si>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</si>
  <si>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</si>
  <si>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</si>
  <si>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</si>
  <si>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</si>
  <si>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</si>
  <si>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</si>
  <si>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</si>
  <si>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</si>
  <si>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</si>
  <si>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Hod.</t>
  </si>
  <si>
    <t>ml.ž</t>
  </si>
  <si>
    <t>Zatloukal Martin</t>
  </si>
  <si>
    <t>Čech.</t>
  </si>
  <si>
    <t>ř.ř.</t>
  </si>
  <si>
    <t>Vánko Martin</t>
  </si>
  <si>
    <t>Trenčín</t>
  </si>
  <si>
    <t>Dalibor Patkoló</t>
  </si>
  <si>
    <t>Šam.</t>
  </si>
  <si>
    <t>Tibor Kubík</t>
  </si>
  <si>
    <t>Katrinec Vratko</t>
  </si>
  <si>
    <t>Staníček David</t>
  </si>
  <si>
    <t>Krn.</t>
  </si>
  <si>
    <t xml:space="preserve">Černota Pavel </t>
  </si>
  <si>
    <t>Tichá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</si>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</sst>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895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workbookViewId="0">
      <selection activeCell="BC12" sqref="BC12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198" hidden="1" customWidth="1"/>
    <col min="5" max="6" width="9.109375" style="193" hidden="1" customWidth="1"/>
    <col min="7" max="8" width="9.109375" hidden="1" customWidth="1"/>
    <col min="9" max="32" width="6.6640625" style="204" hidden="1" customWidth="1"/>
    <col min="33" max="33" width="11.109375" style="204" hidden="1" customWidth="1"/>
    <col min="34" max="34" width="6.6640625" style="204" hidden="1" customWidth="1"/>
    <col min="35" max="35" width="12.6640625" style="204" hidden="1" customWidth="1"/>
    <col min="36" max="41" width="9.109375" style="204" hidden="1" customWidth="1"/>
    <col min="42" max="52" width="0" hidden="1" customWidth="1"/>
  </cols>
  <sheetData>
    <row r="1" spans="1:53" ht="30" x14ac:dyDescent="0.5">
      <c r="A1" s="677" t="str">
        <f>CONCATENATE([1]List1!$A$96)</f>
        <v>Výsledky v soutěži jednotlivců</v>
      </c>
      <c r="B1" s="677"/>
      <c r="C1" s="677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  <c r="E3" s="196"/>
      <c r="G3" s="197"/>
    </row>
    <row r="4" spans="1:53" ht="15.6" x14ac:dyDescent="0.3">
      <c r="A4" s="16" t="str">
        <f>CONCATENATE([1]List1!$A$3)</f>
        <v>Místo:</v>
      </c>
      <c r="B4" s="17" t="str">
        <f>CONCATENATE('Vážní listina'!D3)</f>
        <v>Čechovice</v>
      </c>
      <c r="AD4" s="205">
        <f>E3</f>
        <v>0</v>
      </c>
      <c r="AG4" s="204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  <c r="E5" s="195" t="str">
        <f>'Tabulka finále'!CD54</f>
        <v>výsledky</v>
      </c>
      <c r="G5" s="194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ml.ž 63 kg ř.ř.</v>
      </c>
    </row>
    <row r="8" spans="1:53" ht="13.8" thickBot="1" x14ac:dyDescent="0.3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78" t="s">
        <v>13</v>
      </c>
      <c r="U9" s="678"/>
      <c r="W9" s="678" t="s">
        <v>14</v>
      </c>
      <c r="X9" s="678"/>
      <c r="Z9" s="678" t="s">
        <v>1</v>
      </c>
      <c r="AA9" s="678"/>
      <c r="AC9" s="678" t="s">
        <v>3</v>
      </c>
      <c r="AD9" s="678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Staníček David</v>
      </c>
      <c r="C10" s="20" t="str">
        <f>IF((IF(A10="","",(IF(F10="","",(INDEX('Vážní listina'!$E$7:$E$38,F10))))))=0,"",(IF(A10="","",(IF(F10="","",(INDEX('Vážní listina'!$E$7:$E$38,F10)))))))</f>
        <v>Krn.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6</v>
      </c>
      <c r="I10" s="204">
        <f>'Tabulka kvalifikace'!D7</f>
        <v>1</v>
      </c>
      <c r="J10" s="204">
        <f>'Tabulka kvalifikace'!AE7</f>
        <v>2</v>
      </c>
      <c r="L10" s="206">
        <f>'Tabulka finále'!D10</f>
        <v>1</v>
      </c>
      <c r="M10" s="206" t="str">
        <f>'Tabulka finále'!Q10</f>
        <v>FI</v>
      </c>
      <c r="O10" s="204">
        <f>'Tabulka finále'!D36</f>
        <v>4</v>
      </c>
      <c r="P10" s="204">
        <f>'Tabulka finále'!K36</f>
        <v>5</v>
      </c>
      <c r="T10" s="204">
        <f>I10</f>
        <v>1</v>
      </c>
      <c r="U10" s="204">
        <f>J10</f>
        <v>2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</v>
      </c>
      <c r="Z10" s="204" t="str">
        <f>IF(T10=$O$10,$O$10,IF(T10=$O$11,$O$11,IF(T10=$O$12,$O$12,IF(T10=$O$13,$O$13,""))))</f>
        <v/>
      </c>
      <c r="AA10" s="204" t="str">
        <f>IF(T10=$O$10,$P$10,IF(T10=$O$11,$P$11,IF(T10=$O$12,$P$12,IF(T10=$O$13,$P$13,""))))</f>
        <v/>
      </c>
      <c r="AC10" s="204">
        <f>T10</f>
        <v>1</v>
      </c>
      <c r="AD10" s="204" t="str">
        <f>IF(Z10="",(IF(W10="",(U10),X10)),AA10)</f>
        <v>FI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Zatloukal Martin</v>
      </c>
      <c r="C11" s="20" t="str">
        <f>IF((IF(A11="","",(IF(F11="","",(INDEX('Vážní listina'!$E$7:$E$38,F11))))))=0,"",(IF(A11="","",(IF(F11="","",(INDEX('Vážní listina'!$E$7:$E$38,F11)))))))</f>
        <v>Čech.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1</v>
      </c>
      <c r="I11" s="204">
        <f>'Tabulka kvalifikace'!D9</f>
        <v>2</v>
      </c>
      <c r="J11" s="204">
        <f>'Tabulka kvalifikace'!AE9</f>
        <v>6</v>
      </c>
      <c r="L11" s="206">
        <f>'Tabulka finále'!D12</f>
        <v>3</v>
      </c>
      <c r="M11" s="206" t="str">
        <f>'Tabulka finále'!Q12</f>
        <v>FII</v>
      </c>
      <c r="O11" s="204">
        <f>'Tabulka finále'!D38</f>
        <v>5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6</v>
      </c>
      <c r="W11" s="204" t="str">
        <f>IF(T11=$L$10,$L$10,IF(T11=$L$11,$L$11,IF(T11=$L$12,$L$12,IF(T11=$L$13,$L$13,IF(T11=$L$14,$L$14,IF(T11=$L$15,$L$15,IF(T11=$L$16,$L$16,IF(T11=$L$17,$L$17,""))))))))</f>
        <v/>
      </c>
      <c r="X11" s="204" t="str">
        <f>IF(T11=$L$10,$M$10,IF(T11=$L$11,$M$11,IF(T11=$L$12,$M$12,IF(T11=$L$13,$M$13,IF(T11=$L$14,$M$14,IF(T11=$L$15,$M$15,IF(T11=$L$16,$M$16,IF(T11=$L$17,$M$17,""))))))))</f>
        <v/>
      </c>
      <c r="Z11" s="204" t="str">
        <f t="shared" ref="Z11:Z41" si="3">IF(T11=$O$10,$O$10,IF(T11=$O$11,$O$11,IF(T11=$O$12,$O$12,IF(T11=$O$13,$O$13,""))))</f>
        <v/>
      </c>
      <c r="AA11" s="204" t="str">
        <f t="shared" ref="AA11:AA41" si="4">IF(T11=$O$10,$P$10,IF(T11=$O$11,$P$11,IF(T11=$O$12,$P$12,IF(T11=$O$13,$P$13,""))))</f>
        <v/>
      </c>
      <c r="AC11" s="204">
        <f t="shared" ref="AC11:AC41" si="5">T11</f>
        <v>2</v>
      </c>
      <c r="AD11" s="204">
        <f t="shared" ref="AD11:AD41" si="6">IF(Z11="",(IF(W11="",(U11),X11)),AA11)</f>
        <v>6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Dalibor Patkoló</v>
      </c>
      <c r="C12" s="20" t="str">
        <f>IF((IF(A12="","",(IF(F12="","",(INDEX('Vážní listina'!$E$7:$E$38,F12))))))=0,"",(IF(A12="","",(IF(F12="","",(INDEX('Vážní listina'!$E$7:$E$38,F12)))))))</f>
        <v>Šam.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3</v>
      </c>
      <c r="I12" s="204">
        <f>'Tabulka kvalifikace'!D11</f>
        <v>3</v>
      </c>
      <c r="J12" s="204">
        <f>'Tabulka kvalifikace'!AE11</f>
        <v>3</v>
      </c>
      <c r="L12" s="206">
        <f>'Tabulka finále'!D14</f>
        <v>4</v>
      </c>
      <c r="M12" s="206" t="str">
        <f>'Tabulka finále'!Q14</f>
        <v>FIII</v>
      </c>
      <c r="O12" s="204">
        <f>'Tabulka finále'!D46</f>
        <v>3</v>
      </c>
      <c r="P12" s="204">
        <f>'Tabulka finále'!K46</f>
        <v>3</v>
      </c>
      <c r="T12" s="204">
        <f t="shared" si="1"/>
        <v>3</v>
      </c>
      <c r="U12" s="204">
        <f t="shared" si="2"/>
        <v>3</v>
      </c>
      <c r="W12" s="204">
        <f>IF(T12=$L$10,$L$10,IF(T12=$L$11,$L$11,IF(T12=$L$12,$L$12,IF(T12=$L$13,$L$13,IF(T12=$L$14,$L$14,IF(T12=$L$15,$L$15,IF(T12=$L$16,$L$16,IF(T12=$L$17,$L$17,""))))))))</f>
        <v>3</v>
      </c>
      <c r="X12" s="204" t="str">
        <f>IF(T12=$L$10,$M$10,IF(T12=$L$11,$M$11,IF(T12=$L$12,$M$12,IF(T12=$L$13,$M$13,IF(T12=$L$14,$M$14,IF(T12=$L$15,$M$15,IF(T12=$L$16,$M$16,IF(T12=$L$17,$M$17,""))))))))</f>
        <v>FII</v>
      </c>
      <c r="Z12" s="204">
        <f t="shared" si="3"/>
        <v>3</v>
      </c>
      <c r="AA12" s="204">
        <f t="shared" si="4"/>
        <v>3</v>
      </c>
      <c r="AC12" s="204">
        <f t="shared" si="5"/>
        <v>3</v>
      </c>
      <c r="AD12" s="204">
        <f t="shared" si="6"/>
        <v>3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 xml:space="preserve">Černota Pavel </v>
      </c>
      <c r="C13" s="20" t="str">
        <f>IF((IF(A13="","",(IF(F13="","",(INDEX('Vážní listina'!$E$7:$E$38,F13))))))=0,"",(IF(A13="","",(IF(F13="","",(INDEX('Vážní listina'!$E$7:$E$38,F13)))))))</f>
        <v>Tichá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7</v>
      </c>
      <c r="I13" s="204">
        <f>'Tabulka kvalifikace'!D13</f>
        <v>4</v>
      </c>
      <c r="J13" s="204">
        <f>'Tabulka kvalifikace'!AE13</f>
        <v>5</v>
      </c>
      <c r="L13" s="206">
        <f>'Tabulka finále'!D16</f>
        <v>0</v>
      </c>
      <c r="M13" s="206" t="str">
        <f>'Tabulka finále'!Q16</f>
        <v/>
      </c>
      <c r="O13" s="204">
        <f>'Tabulka finále'!D48</f>
        <v>7</v>
      </c>
      <c r="P13" s="204">
        <f>'Tabulka finále'!K48</f>
        <v>4</v>
      </c>
      <c r="T13" s="204">
        <f t="shared" si="1"/>
        <v>4</v>
      </c>
      <c r="U13" s="204">
        <f t="shared" si="2"/>
        <v>5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FIII</v>
      </c>
      <c r="Z13" s="204">
        <f t="shared" si="3"/>
        <v>4</v>
      </c>
      <c r="AA13" s="204">
        <f t="shared" si="4"/>
        <v>5</v>
      </c>
      <c r="AC13" s="204">
        <f t="shared" si="5"/>
        <v>4</v>
      </c>
      <c r="AD13" s="204">
        <f t="shared" si="6"/>
        <v>5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Tibor Kubík</v>
      </c>
      <c r="C14" s="20" t="str">
        <f>IF((IF(A14="","",(IF(F14="","",(INDEX('Vážní listina'!$E$7:$E$38,F14))))))=0,"",(IF(A14="","",(IF(F14="","",(INDEX('Vážní listina'!$E$7:$E$38,F14)))))))</f>
        <v>Hod.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4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>Vánko Martin</v>
      </c>
      <c r="C15" s="20" t="str">
        <f>IF((IF(A15="","",(IF(F15="","",(INDEX('Vážní listina'!$E$7:$E$38,F15))))))=0,"",(IF(A15="","",(IF(F15="","",(INDEX('Vážní listina'!$E$7:$E$38,F15)))))))</f>
        <v>Trenčín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2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Katrinec Vratko</v>
      </c>
      <c r="C16" s="20" t="str">
        <f>IF((IF(A16="","",(IF(F16="","",(INDEX('Vážní listina'!$E$7:$E$38,F16))))))=0,"",(IF(A16="","",(IF(F16="","",(INDEX('Vážní listina'!$E$7:$E$38,F16)))))))</f>
        <v>Trenčín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5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7</v>
      </c>
      <c r="M16" s="206" t="str">
        <f>'Tabulka finále'!Q26</f>
        <v>FII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7</v>
      </c>
      <c r="T26" s="204">
        <f t="shared" si="1"/>
        <v>5</v>
      </c>
      <c r="U26" s="204">
        <f t="shared" si="2"/>
        <v>7</v>
      </c>
      <c r="W26" s="204">
        <f t="shared" si="14"/>
        <v>5</v>
      </c>
      <c r="X26" s="204" t="str">
        <f t="shared" si="15"/>
        <v>FIII</v>
      </c>
      <c r="Z26" s="204">
        <f t="shared" si="3"/>
        <v>5</v>
      </c>
      <c r="AA26" s="204">
        <f t="shared" si="4"/>
        <v>6</v>
      </c>
      <c r="AC26" s="204">
        <f t="shared" si="5"/>
        <v>5</v>
      </c>
      <c r="AD26" s="204">
        <f t="shared" si="6"/>
        <v>6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1</v>
      </c>
      <c r="T27" s="204">
        <f t="shared" si="1"/>
        <v>6</v>
      </c>
      <c r="U27" s="204">
        <f t="shared" si="2"/>
        <v>1</v>
      </c>
      <c r="W27" s="204">
        <f t="shared" si="14"/>
        <v>6</v>
      </c>
      <c r="X27" s="204" t="str">
        <f t="shared" si="15"/>
        <v>FI</v>
      </c>
      <c r="Z27" s="204" t="str">
        <f t="shared" si="3"/>
        <v/>
      </c>
      <c r="AA27" s="204" t="str">
        <f t="shared" si="4"/>
        <v/>
      </c>
      <c r="AC27" s="204">
        <f t="shared" si="5"/>
        <v>6</v>
      </c>
      <c r="AD27" s="204" t="str">
        <f t="shared" si="6"/>
        <v>FI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4</v>
      </c>
      <c r="T28" s="204">
        <f t="shared" si="1"/>
        <v>7</v>
      </c>
      <c r="U28" s="204">
        <f t="shared" si="2"/>
        <v>4</v>
      </c>
      <c r="W28" s="204">
        <f t="shared" si="14"/>
        <v>7</v>
      </c>
      <c r="X28" s="204" t="str">
        <f t="shared" si="15"/>
        <v>FII</v>
      </c>
      <c r="Z28" s="204">
        <f t="shared" si="3"/>
        <v>7</v>
      </c>
      <c r="AA28" s="204">
        <f t="shared" si="4"/>
        <v>4</v>
      </c>
      <c r="AC28" s="204">
        <f t="shared" si="5"/>
        <v>7</v>
      </c>
      <c r="AD28" s="204">
        <f t="shared" si="6"/>
        <v>4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5.2" hidden="1" thickBot="1" x14ac:dyDescent="0.3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5.2" hidden="1" thickBot="1" x14ac:dyDescent="0.3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5.2" hidden="1" thickBot="1" x14ac:dyDescent="0.3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5.2" hidden="1" thickBot="1" x14ac:dyDescent="0.3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5">
      <c r="A46" s="135"/>
      <c r="B46" s="135"/>
      <c r="C46" s="135"/>
    </row>
    <row r="47" spans="1:53" x14ac:dyDescent="0.25">
      <c r="A47" t="str">
        <f>'Vážní listina'!A40</f>
        <v xml:space="preserve">Čechovice,  3.12.2022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A7" sqref="A7:I13"/>
    </sheetView>
  </sheetViews>
  <sheetFormatPr defaultRowHeight="13.2" x14ac:dyDescent="0.25"/>
  <cols>
    <col min="1" max="1" width="9.109375" style="1" customWidth="1"/>
    <col min="2" max="2" width="9.88671875" style="94" hidden="1" customWidth="1"/>
    <col min="3" max="3" width="5.5546875" style="93" hidden="1" customWidth="1"/>
    <col min="4" max="4" width="27.88671875" customWidth="1"/>
    <col min="5" max="5" width="10.33203125" style="79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89" hidden="1" customWidth="1"/>
    <col min="12" max="12" width="5.6640625" style="37" hidden="1" customWidth="1"/>
    <col min="13" max="14" width="9.109375" style="89" hidden="1" customWidth="1"/>
    <col min="15" max="15" width="5.33203125" style="1" hidden="1" customWidth="1"/>
    <col min="16" max="19" width="9.109375" hidden="1" customWidth="1"/>
    <col min="20" max="20" width="9.109375" style="88" hidden="1" customWidth="1"/>
    <col min="21" max="22" width="9.109375" style="37" hidden="1" customWidth="1"/>
    <col min="23" max="23" width="9.109375" style="91" hidden="1" customWidth="1"/>
    <col min="24" max="24" width="10.109375" style="88" hidden="1" customWidth="1"/>
    <col min="25" max="25" width="9.109375" style="37" hidden="1" customWidth="1"/>
    <col min="26" max="26" width="9.109375" style="1" hidden="1" customWidth="1"/>
    <col min="27" max="27" width="9.109375" hidden="1" customWidth="1"/>
    <col min="28" max="28" width="11" style="88" hidden="1" customWidth="1"/>
    <col min="29" max="30" width="9.109375" hidden="1" customWidth="1"/>
    <col min="31" max="58" width="4.6640625" style="209" hidden="1" customWidth="1"/>
    <col min="59" max="67" width="4.6640625" hidden="1" customWidth="1"/>
    <col min="68" max="116" width="4.6640625" style="209" hidden="1" customWidth="1"/>
    <col min="117" max="148" width="4.6640625" style="212" hidden="1" customWidth="1"/>
    <col min="149" max="158" width="4.6640625" style="209" hidden="1" customWidth="1"/>
    <col min="159" max="221" width="4.6640625" style="212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231" hidden="1" customWidth="1"/>
    <col min="258" max="259" width="5.6640625" style="231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680" t="str">
        <f>[1]List1!$A$2</f>
        <v>Vážní listina</v>
      </c>
      <c r="B1" s="680"/>
      <c r="C1" s="680"/>
      <c r="D1" s="680"/>
      <c r="E1" s="680"/>
      <c r="F1" s="680"/>
      <c r="G1" s="680"/>
      <c r="H1" s="680"/>
      <c r="I1" s="680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3">
      <c r="A2" s="684" t="str">
        <f>'[2]Základní údaje'!$B$3</f>
        <v>XVII. ročník turnaje v zápase řecko-římském O pohár Františka Nesvadbíka</v>
      </c>
      <c r="B2" s="684"/>
      <c r="C2" s="684"/>
      <c r="D2" s="684"/>
      <c r="E2" s="684"/>
      <c r="F2" s="684"/>
      <c r="G2" s="684"/>
      <c r="H2" s="684"/>
      <c r="I2" s="684"/>
      <c r="AE2" s="209" t="s">
        <v>3</v>
      </c>
      <c r="HB2" s="678" t="str">
        <f>'Tabulka kvalifikace'!G3</f>
        <v>Počet zápasníků</v>
      </c>
      <c r="HC2" s="678"/>
      <c r="HD2" s="678"/>
      <c r="HE2" s="678"/>
      <c r="HF2" s="212">
        <f>AE3</f>
        <v>7</v>
      </c>
      <c r="HW2" s="678" t="str">
        <f>[1]List1!$A$36</f>
        <v>Párování kola</v>
      </c>
      <c r="HX2" s="678"/>
      <c r="HY2" s="678"/>
      <c r="HZ2" s="678"/>
      <c r="IA2" s="678"/>
      <c r="IB2" s="678"/>
      <c r="IC2" s="678"/>
      <c r="ID2" s="678"/>
      <c r="IE2" s="678"/>
      <c r="IF2" s="678"/>
      <c r="IG2" s="678"/>
      <c r="IH2" s="678"/>
      <c r="II2" s="678"/>
      <c r="IJ2" s="678"/>
      <c r="IK2" s="678"/>
      <c r="IL2" s="678"/>
      <c r="IM2" s="678"/>
      <c r="IN2" s="678"/>
      <c r="IO2" s="678"/>
      <c r="IP2" s="678"/>
      <c r="IQ2" s="678"/>
      <c r="IR2" s="678"/>
      <c r="IS2" s="678"/>
      <c r="IT2" s="678"/>
      <c r="IU2" s="678"/>
      <c r="IV2" s="678"/>
      <c r="IW2" s="678"/>
    </row>
    <row r="3" spans="1:259" ht="14.4" thickTop="1" thickBot="1" x14ac:dyDescent="0.3">
      <c r="A3" s="112" t="str">
        <f>CONCATENATE([1]List1!$A$3)</f>
        <v>Místo:</v>
      </c>
      <c r="D3" s="2" t="str">
        <f>'[2]Základní údaje'!$D$3</f>
        <v>Čechovice</v>
      </c>
      <c r="E3" s="80"/>
      <c r="F3" s="683"/>
      <c r="G3" s="683"/>
      <c r="H3" s="1"/>
      <c r="I3" s="1"/>
      <c r="AE3" s="506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78" t="str">
        <f>[1]List1!$B$7</f>
        <v>los</v>
      </c>
      <c r="DP3" s="678"/>
      <c r="DQ3" s="678"/>
      <c r="DR3" s="678"/>
      <c r="DS3" s="678"/>
      <c r="DT3" s="678"/>
      <c r="DU3" s="678"/>
      <c r="DV3" s="678"/>
      <c r="DW3" s="678"/>
      <c r="DX3" s="678"/>
      <c r="DY3" s="678"/>
      <c r="DZ3" s="678"/>
      <c r="EA3" s="678"/>
      <c r="EB3" s="678"/>
      <c r="EC3" s="678"/>
      <c r="ED3" s="678"/>
      <c r="EE3" s="678"/>
      <c r="EF3" s="678"/>
      <c r="EG3" s="678"/>
      <c r="EH3" s="678"/>
      <c r="EI3" s="678"/>
      <c r="EJ3" s="678"/>
      <c r="EK3" s="678"/>
      <c r="EL3" s="678"/>
      <c r="EM3" s="678"/>
      <c r="EN3" s="678"/>
      <c r="EO3" s="678"/>
      <c r="ES3" s="88"/>
      <c r="ET3" s="678" t="str">
        <f>[1]List1!$A$12</f>
        <v>1. kolo</v>
      </c>
      <c r="EU3" s="678"/>
      <c r="EV3" s="678"/>
      <c r="EW3" s="678"/>
      <c r="EX3" s="678"/>
      <c r="EY3" s="678"/>
      <c r="EZ3" s="678"/>
      <c r="FA3" s="678"/>
      <c r="FB3" s="678"/>
      <c r="FC3" s="678"/>
      <c r="FD3" s="678"/>
      <c r="FE3" s="678"/>
      <c r="FF3" s="678"/>
      <c r="FG3" s="678"/>
      <c r="FH3" s="678"/>
      <c r="FI3" s="678"/>
      <c r="FJ3" s="678"/>
      <c r="FK3" s="678"/>
      <c r="FL3" s="678"/>
      <c r="FM3" s="678"/>
      <c r="FN3" s="678"/>
      <c r="FO3" s="678"/>
      <c r="FP3" s="678"/>
      <c r="FQ3" s="678"/>
      <c r="FR3" s="678"/>
      <c r="FS3" s="678"/>
      <c r="FT3" s="678"/>
      <c r="FY3" s="678" t="str">
        <f>[1]List1!$A$13</f>
        <v>2. kolo</v>
      </c>
      <c r="FZ3" s="678"/>
      <c r="GA3" s="678"/>
      <c r="GB3" s="678"/>
      <c r="GC3" s="678"/>
      <c r="GD3" s="678"/>
      <c r="GE3" s="678"/>
      <c r="GF3" s="678"/>
      <c r="GG3" s="678"/>
      <c r="GH3" s="678"/>
      <c r="GI3" s="678"/>
      <c r="GJ3" s="678"/>
      <c r="GK3" s="678"/>
      <c r="GL3" s="678"/>
      <c r="GM3" s="678"/>
      <c r="GN3" s="678"/>
      <c r="GO3" s="678"/>
      <c r="GP3" s="678"/>
      <c r="GQ3" s="678"/>
      <c r="GR3" s="678"/>
      <c r="GS3" s="678"/>
      <c r="GT3" s="678"/>
      <c r="GU3" s="678"/>
      <c r="GV3" s="678"/>
      <c r="GW3" s="678"/>
      <c r="GX3" s="678"/>
      <c r="GY3" s="678"/>
      <c r="HW3" s="678" t="str">
        <f>[1]List1!$A$14</f>
        <v>3. kolo</v>
      </c>
      <c r="HX3" s="678"/>
      <c r="HY3" s="678"/>
      <c r="HZ3" s="678"/>
      <c r="IA3" s="678"/>
      <c r="IB3" s="678"/>
      <c r="IC3" s="678"/>
      <c r="ID3" s="678"/>
      <c r="IE3" s="678"/>
      <c r="IF3" s="678"/>
      <c r="IG3" s="678"/>
      <c r="IH3" s="678"/>
      <c r="II3" s="678"/>
      <c r="IJ3" s="678"/>
      <c r="IK3" s="678"/>
      <c r="IL3" s="678"/>
      <c r="IM3" s="678"/>
      <c r="IN3" s="678"/>
      <c r="IO3" s="678"/>
      <c r="IP3" s="678"/>
      <c r="IQ3" s="678"/>
      <c r="IR3" s="678"/>
      <c r="IS3" s="678"/>
      <c r="IT3" s="678"/>
      <c r="IU3" s="678"/>
      <c r="IV3" s="678"/>
      <c r="IW3" s="678"/>
    </row>
    <row r="4" spans="1:259" s="88" customFormat="1" ht="28.5" customHeight="1" thickTop="1" x14ac:dyDescent="0.25">
      <c r="A4" s="103" t="str">
        <f>CONCATENATE([1]List1!$A$4)</f>
        <v>Datum:</v>
      </c>
      <c r="B4" s="94"/>
      <c r="C4" s="93"/>
      <c r="D4" s="137" t="str">
        <f>'[2]Základní údaje'!$B$4</f>
        <v xml:space="preserve"> 3.12.2022 </v>
      </c>
      <c r="E4" s="102" t="str">
        <f>CONCATENATE([1]List1!$A$5)</f>
        <v>Hmotnost:</v>
      </c>
      <c r="F4" s="682" t="str">
        <f>IF(Z23=1,(CONCATENATE(AA6," ",L4," kg")),T35)</f>
        <v>ml.ž 63 kg</v>
      </c>
      <c r="G4" s="682"/>
      <c r="H4" s="101" t="str">
        <f>CONCATENATE([1]List1!$A$6)</f>
        <v>styl:</v>
      </c>
      <c r="I4" s="103" t="str">
        <f>O12</f>
        <v>ř.ř.</v>
      </c>
      <c r="K4" s="89" t="str">
        <f>$E$4</f>
        <v>Hmotnost:</v>
      </c>
      <c r="L4" s="106">
        <f>C7</f>
        <v>63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8" thickBot="1" x14ac:dyDescent="0.3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5" t="str">
        <f>[1]List1!$A$198</f>
        <v>automatická volba - neměnit</v>
      </c>
      <c r="O5" s="685"/>
      <c r="P5" s="685"/>
      <c r="Q5" s="685"/>
      <c r="R5" s="685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7" thickBot="1" x14ac:dyDescent="0.3">
      <c r="A6" s="138" t="str">
        <f>[1]List1!$B$3</f>
        <v>číslo</v>
      </c>
      <c r="B6" s="126" t="str">
        <f>'[3]Rozdělení do hmotností'!$B$69</f>
        <v>A příp</v>
      </c>
      <c r="C6" s="127">
        <f>'[3]Rozdělení do hmotností'!$C$69</f>
        <v>31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681" t="str">
        <f>[1]List1!$A$7</f>
        <v>věk. kat.</v>
      </c>
      <c r="L6" s="681"/>
      <c r="M6" s="37"/>
      <c r="N6" s="678" t="str">
        <f>[1]List1!$A$6</f>
        <v>styl:</v>
      </c>
      <c r="O6" s="678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" customHeight="1" thickTop="1" x14ac:dyDescent="0.3">
      <c r="A7" s="125">
        <v>1</v>
      </c>
      <c r="B7" s="115" t="s">
        <v>74</v>
      </c>
      <c r="C7" s="116">
        <v>63</v>
      </c>
      <c r="D7" s="117" t="s">
        <v>75</v>
      </c>
      <c r="E7" s="10" t="s">
        <v>76</v>
      </c>
      <c r="F7" s="9">
        <v>2009</v>
      </c>
      <c r="G7" s="118">
        <v>7</v>
      </c>
      <c r="H7" s="119">
        <v>63</v>
      </c>
      <c r="I7" s="110" t="s">
        <v>77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Zatloukal Martin</v>
      </c>
      <c r="HR7" s="226" t="str">
        <f>IF(HK7="","",(IF((INDEX($E$7:$E$38,HK7))="","",(INDEX($E$7:$E$38,HK7)))))</f>
        <v>Čech.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" customHeight="1" x14ac:dyDescent="0.3">
      <c r="A8" s="125">
        <v>2</v>
      </c>
      <c r="B8" s="120" t="s">
        <v>74</v>
      </c>
      <c r="C8" s="118">
        <v>63</v>
      </c>
      <c r="D8" s="117" t="s">
        <v>78</v>
      </c>
      <c r="E8" s="10" t="s">
        <v>79</v>
      </c>
      <c r="F8" s="9">
        <v>2009</v>
      </c>
      <c r="G8" s="118">
        <v>51</v>
      </c>
      <c r="H8" s="119">
        <v>58.8</v>
      </c>
      <c r="I8" s="108" t="s">
        <v>77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" customHeight="1" x14ac:dyDescent="0.3">
      <c r="A9" s="125">
        <v>3</v>
      </c>
      <c r="B9" s="115" t="s">
        <v>74</v>
      </c>
      <c r="C9" s="116">
        <v>63</v>
      </c>
      <c r="D9" s="117" t="s">
        <v>80</v>
      </c>
      <c r="E9" s="10" t="s">
        <v>81</v>
      </c>
      <c r="F9" s="9">
        <v>2010</v>
      </c>
      <c r="G9" s="118">
        <v>59</v>
      </c>
      <c r="H9" s="119">
        <v>62.9</v>
      </c>
      <c r="I9" s="108" t="s">
        <v>77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Vánko Martin</v>
      </c>
      <c r="HR9" s="228" t="str">
        <f t="shared" si="126"/>
        <v>Trenčín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" customHeight="1" x14ac:dyDescent="0.3">
      <c r="A10" s="125">
        <v>4</v>
      </c>
      <c r="B10" s="120" t="s">
        <v>74</v>
      </c>
      <c r="C10" s="118">
        <v>63</v>
      </c>
      <c r="D10" s="117" t="s">
        <v>82</v>
      </c>
      <c r="E10" s="10" t="s">
        <v>73</v>
      </c>
      <c r="F10" s="9">
        <v>2009</v>
      </c>
      <c r="G10" s="118">
        <v>66</v>
      </c>
      <c r="H10" s="119">
        <v>57.7</v>
      </c>
      <c r="I10" s="108" t="s">
        <v>77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" customHeight="1" x14ac:dyDescent="0.3">
      <c r="A11" s="125">
        <v>5</v>
      </c>
      <c r="B11" s="115" t="s">
        <v>74</v>
      </c>
      <c r="C11" s="116">
        <v>63</v>
      </c>
      <c r="D11" s="117" t="s">
        <v>83</v>
      </c>
      <c r="E11" s="10" t="s">
        <v>79</v>
      </c>
      <c r="F11" s="9">
        <v>2009</v>
      </c>
      <c r="G11" s="118">
        <v>105</v>
      </c>
      <c r="H11" s="119">
        <v>60.6</v>
      </c>
      <c r="I11" s="108" t="s">
        <v>77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3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>Dalibor Patkoló</v>
      </c>
      <c r="HR11" s="228" t="str">
        <f t="shared" si="126"/>
        <v>Šam.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" customHeight="1" x14ac:dyDescent="0.3">
      <c r="A12" s="125">
        <v>6</v>
      </c>
      <c r="B12" s="120" t="s">
        <v>74</v>
      </c>
      <c r="C12" s="118">
        <v>63</v>
      </c>
      <c r="D12" s="117" t="s">
        <v>84</v>
      </c>
      <c r="E12" s="10" t="s">
        <v>85</v>
      </c>
      <c r="F12" s="9">
        <v>2009</v>
      </c>
      <c r="G12" s="118">
        <v>111</v>
      </c>
      <c r="H12" s="119">
        <v>59</v>
      </c>
      <c r="I12" s="108" t="s">
        <v>77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" customHeight="1" x14ac:dyDescent="0.3">
      <c r="A13" s="125">
        <v>7</v>
      </c>
      <c r="B13" s="115" t="s">
        <v>74</v>
      </c>
      <c r="C13" s="116">
        <v>63</v>
      </c>
      <c r="D13" s="117" t="s">
        <v>86</v>
      </c>
      <c r="E13" s="10" t="s">
        <v>87</v>
      </c>
      <c r="F13" s="9">
        <v>2010</v>
      </c>
      <c r="G13" s="118">
        <v>122</v>
      </c>
      <c r="H13" s="119">
        <v>60</v>
      </c>
      <c r="I13" s="108" t="s">
        <v>77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Tibor Kubík</v>
      </c>
      <c r="HR13" s="228" t="str">
        <f t="shared" si="126"/>
        <v>Hod.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" customHeight="1" thickBot="1" x14ac:dyDescent="0.35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" customHeight="1" thickTop="1" x14ac:dyDescent="0.3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" customHeight="1" x14ac:dyDescent="0.3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" customHeight="1" x14ac:dyDescent="0.3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" customHeight="1" x14ac:dyDescent="0.3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" customHeight="1" x14ac:dyDescent="0.3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" customHeight="1" x14ac:dyDescent="0.3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" customHeight="1" x14ac:dyDescent="0.3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" customHeight="1" thickBot="1" x14ac:dyDescent="0.35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" hidden="1" customHeight="1" thickTop="1" x14ac:dyDescent="0.3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" hidden="1" customHeight="1" x14ac:dyDescent="0.3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" hidden="1" customHeight="1" x14ac:dyDescent="0.3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 t="str">
        <f t="shared" si="123"/>
        <v>VL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" hidden="1" customHeight="1" x14ac:dyDescent="0.3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" hidden="1" customHeight="1" x14ac:dyDescent="0.3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" hidden="1" customHeight="1" x14ac:dyDescent="0.3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" hidden="1" customHeight="1" x14ac:dyDescent="0.3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" hidden="1" customHeight="1" x14ac:dyDescent="0.3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" hidden="1" customHeight="1" x14ac:dyDescent="0.3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" hidden="1" customHeight="1" x14ac:dyDescent="0.3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" hidden="1" customHeight="1" x14ac:dyDescent="0.3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" hidden="1" customHeight="1" x14ac:dyDescent="0.3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" hidden="1" customHeight="1" x14ac:dyDescent="0.3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" hidden="1" customHeight="1" x14ac:dyDescent="0.3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" hidden="1" customHeight="1" x14ac:dyDescent="0.3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" hidden="1" customHeight="1" thickBot="1" x14ac:dyDescent="0.35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" customHeight="1" thickTop="1" x14ac:dyDescent="0.25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Katrinec Vratko</v>
      </c>
      <c r="HR39" s="228" t="str">
        <f t="shared" si="126"/>
        <v>Trenčín</v>
      </c>
    </row>
    <row r="40" spans="1:259" x14ac:dyDescent="0.25">
      <c r="A40" s="114" t="str">
        <f>'[2]Základní údaje'!$B$7</f>
        <v xml:space="preserve">Čechovice,  3.12.2022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5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Staníček David</v>
      </c>
      <c r="HR41" s="228" t="str">
        <f t="shared" si="126"/>
        <v>Krn.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5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5">
      <c r="M43" s="678" t="str">
        <f>AI151</f>
        <v>1. kolo</v>
      </c>
      <c r="N43" s="678"/>
      <c r="P43" s="679" t="str">
        <f>AM151</f>
        <v>2. kolo</v>
      </c>
      <c r="Q43" s="679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 xml:space="preserve">Černota Pavel </v>
      </c>
      <c r="HR43" s="228" t="str">
        <f t="shared" si="126"/>
        <v>Tichá</v>
      </c>
    </row>
    <row r="44" spans="1:259" ht="13.8" thickBot="1" x14ac:dyDescent="0.3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5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5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5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7</v>
      </c>
      <c r="Q47" s="472">
        <f t="shared" si="167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5">
      <c r="L48" s="463">
        <f t="shared" si="168"/>
        <v>4</v>
      </c>
      <c r="M48" s="562" t="str">
        <f t="shared" si="164"/>
        <v/>
      </c>
      <c r="N48" s="561" t="str">
        <f t="shared" si="165"/>
        <v/>
      </c>
      <c r="O48" s="468"/>
      <c r="P48" s="471" t="str">
        <f t="shared" si="166"/>
        <v/>
      </c>
      <c r="Q48" s="472" t="str">
        <f t="shared" si="167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5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78">
        <v>32</v>
      </c>
      <c r="AJ49" s="678"/>
      <c r="AK49" s="678"/>
      <c r="AL49" s="678"/>
      <c r="AM49" s="678"/>
      <c r="AO49" s="678">
        <v>31</v>
      </c>
      <c r="AP49" s="678"/>
      <c r="AQ49" s="678"/>
      <c r="AR49" s="678"/>
      <c r="AS49" s="678"/>
      <c r="AU49" s="678">
        <v>30</v>
      </c>
      <c r="AV49" s="678"/>
      <c r="AW49" s="678"/>
      <c r="AX49" s="678"/>
      <c r="AY49" s="678"/>
      <c r="BA49" s="678">
        <v>29</v>
      </c>
      <c r="BB49" s="678"/>
      <c r="BC49" s="678"/>
      <c r="BD49" s="678"/>
      <c r="BE49" s="678"/>
      <c r="BG49" s="678">
        <v>28</v>
      </c>
      <c r="BH49" s="678"/>
      <c r="BI49" s="678"/>
      <c r="BJ49" s="678"/>
      <c r="BK49" s="678"/>
      <c r="BM49" s="678">
        <v>27</v>
      </c>
      <c r="BN49" s="678"/>
      <c r="BO49" s="678"/>
      <c r="BP49" s="678"/>
      <c r="BQ49" s="678"/>
      <c r="BS49" s="678">
        <f>BM49-1</f>
        <v>26</v>
      </c>
      <c r="BT49" s="678"/>
      <c r="BU49" s="678"/>
      <c r="BV49" s="678"/>
      <c r="BW49" s="678"/>
      <c r="BY49" s="678">
        <f>BS49-1</f>
        <v>25</v>
      </c>
      <c r="BZ49" s="678"/>
      <c r="CA49" s="678"/>
      <c r="CB49" s="678"/>
      <c r="CC49" s="678"/>
      <c r="CE49" s="678">
        <f>BY49-1</f>
        <v>24</v>
      </c>
      <c r="CF49" s="678"/>
      <c r="CG49" s="678"/>
      <c r="CH49" s="678"/>
      <c r="CI49" s="678"/>
      <c r="CK49" s="678">
        <f>CE49-1</f>
        <v>23</v>
      </c>
      <c r="CL49" s="678"/>
      <c r="CM49" s="678"/>
      <c r="CN49" s="678"/>
      <c r="CO49" s="678"/>
      <c r="CQ49" s="678">
        <f>CK49-1</f>
        <v>22</v>
      </c>
      <c r="CR49" s="678"/>
      <c r="CS49" s="678"/>
      <c r="CT49" s="678"/>
      <c r="CU49" s="678"/>
      <c r="CW49" s="678">
        <f>CQ49-1</f>
        <v>21</v>
      </c>
      <c r="CX49" s="678"/>
      <c r="CY49" s="678"/>
      <c r="CZ49" s="678"/>
      <c r="DA49" s="678"/>
      <c r="DC49" s="678">
        <f>CW49-1</f>
        <v>20</v>
      </c>
      <c r="DD49" s="678"/>
      <c r="DE49" s="678"/>
      <c r="DF49" s="678"/>
      <c r="DG49" s="678"/>
      <c r="DI49" s="678">
        <f>DC49-1</f>
        <v>19</v>
      </c>
      <c r="DJ49" s="678"/>
      <c r="DK49" s="678"/>
      <c r="DL49" s="678"/>
      <c r="DM49" s="678"/>
      <c r="DO49" s="678">
        <f>DI49-1</f>
        <v>18</v>
      </c>
      <c r="DP49" s="678"/>
      <c r="DQ49" s="678"/>
      <c r="DR49" s="678"/>
      <c r="DS49" s="678"/>
      <c r="DU49" s="678">
        <f>DO49-1</f>
        <v>17</v>
      </c>
      <c r="DV49" s="678"/>
      <c r="DW49" s="678"/>
      <c r="DX49" s="678"/>
      <c r="DY49" s="678"/>
      <c r="EA49" s="678">
        <f>DU49-1</f>
        <v>16</v>
      </c>
      <c r="EB49" s="678"/>
      <c r="EC49" s="678"/>
      <c r="ED49" s="678"/>
      <c r="EE49" s="678"/>
      <c r="EG49" s="678">
        <f>EA49-1</f>
        <v>15</v>
      </c>
      <c r="EH49" s="678"/>
      <c r="EI49" s="678"/>
      <c r="EJ49" s="678"/>
      <c r="EK49" s="678"/>
      <c r="EM49" s="678">
        <f>EG49-1</f>
        <v>14</v>
      </c>
      <c r="EN49" s="678"/>
      <c r="EO49" s="678"/>
      <c r="EP49" s="678"/>
      <c r="EQ49" s="678"/>
      <c r="ES49" s="678">
        <f>EM49-1</f>
        <v>13</v>
      </c>
      <c r="ET49" s="678"/>
      <c r="EU49" s="678"/>
      <c r="EV49" s="678"/>
      <c r="EW49" s="678"/>
      <c r="EY49" s="678">
        <f>ES49-1</f>
        <v>12</v>
      </c>
      <c r="EZ49" s="678"/>
      <c r="FA49" s="678"/>
      <c r="FB49" s="678"/>
      <c r="FC49" s="678"/>
      <c r="FE49" s="678">
        <f>EY49-1</f>
        <v>11</v>
      </c>
      <c r="FF49" s="678"/>
      <c r="FG49" s="678"/>
      <c r="FH49" s="678"/>
      <c r="FI49" s="678"/>
      <c r="FK49" s="678">
        <f>FE49-1</f>
        <v>10</v>
      </c>
      <c r="FL49" s="678"/>
      <c r="FM49" s="678"/>
      <c r="FN49" s="678"/>
      <c r="FO49" s="678"/>
      <c r="FQ49" s="678">
        <f>FK49-1</f>
        <v>9</v>
      </c>
      <c r="FR49" s="678"/>
      <c r="FS49" s="678"/>
      <c r="FT49" s="678"/>
      <c r="FU49" s="678"/>
      <c r="FW49" s="678">
        <f>FQ49-1</f>
        <v>8</v>
      </c>
      <c r="FX49" s="678"/>
      <c r="FY49" s="678"/>
      <c r="FZ49" s="678"/>
      <c r="GA49" s="678"/>
      <c r="GC49" s="678">
        <f>FW49-1</f>
        <v>7</v>
      </c>
      <c r="GD49" s="678"/>
      <c r="GE49" s="678"/>
      <c r="GF49" s="678"/>
      <c r="GG49" s="678"/>
      <c r="GI49" s="678">
        <f>GC49-1</f>
        <v>6</v>
      </c>
      <c r="GJ49" s="678"/>
      <c r="GK49" s="678"/>
      <c r="GL49" s="678"/>
      <c r="GM49" s="678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5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78" t="str">
        <f>[1]List1!$I$12</f>
        <v>1. kolo</v>
      </c>
      <c r="AJ50" s="678"/>
      <c r="AL50" s="678" t="str">
        <f>[1]List1!$I$13</f>
        <v>2. kolo</v>
      </c>
      <c r="AM50" s="678"/>
      <c r="AO50" s="678" t="str">
        <f>[1]List1!$I$12</f>
        <v>1. kolo</v>
      </c>
      <c r="AP50" s="678"/>
      <c r="AQ50" s="446"/>
      <c r="AR50" s="678" t="str">
        <f>[1]List1!$I$13</f>
        <v>2. kolo</v>
      </c>
      <c r="AS50" s="678"/>
      <c r="AU50" s="678" t="str">
        <f>[1]List1!$I$12</f>
        <v>1. kolo</v>
      </c>
      <c r="AV50" s="678"/>
      <c r="AW50" s="446"/>
      <c r="AX50" s="678" t="str">
        <f>[1]List1!$I$13</f>
        <v>2. kolo</v>
      </c>
      <c r="AY50" s="678"/>
      <c r="BA50" s="678" t="str">
        <f>[1]List1!$I$12</f>
        <v>1. kolo</v>
      </c>
      <c r="BB50" s="678"/>
      <c r="BC50" s="446"/>
      <c r="BD50" s="678" t="str">
        <f>[1]List1!$I$13</f>
        <v>2. kolo</v>
      </c>
      <c r="BE50" s="678"/>
      <c r="BG50" s="678" t="str">
        <f>[1]List1!$I$12</f>
        <v>1. kolo</v>
      </c>
      <c r="BH50" s="678"/>
      <c r="BI50" s="446"/>
      <c r="BJ50" s="678" t="str">
        <f>[1]List1!$I$13</f>
        <v>2. kolo</v>
      </c>
      <c r="BK50" s="678"/>
      <c r="BM50" s="678" t="str">
        <f>[1]List1!$I$12</f>
        <v>1. kolo</v>
      </c>
      <c r="BN50" s="678"/>
      <c r="BO50" s="446"/>
      <c r="BP50" s="678" t="str">
        <f>[1]List1!$I$13</f>
        <v>2. kolo</v>
      </c>
      <c r="BQ50" s="678"/>
      <c r="BS50" s="678" t="str">
        <f>[1]List1!$I$12</f>
        <v>1. kolo</v>
      </c>
      <c r="BT50" s="678"/>
      <c r="BU50" s="446"/>
      <c r="BV50" s="678" t="str">
        <f>[1]List1!$I$13</f>
        <v>2. kolo</v>
      </c>
      <c r="BW50" s="678"/>
      <c r="BY50" s="678" t="str">
        <f>[1]List1!$I$12</f>
        <v>1. kolo</v>
      </c>
      <c r="BZ50" s="678"/>
      <c r="CA50" s="446"/>
      <c r="CB50" s="678" t="str">
        <f>[1]List1!$I$13</f>
        <v>2. kolo</v>
      </c>
      <c r="CC50" s="678"/>
      <c r="CE50" s="678" t="str">
        <f>[1]List1!$I$12</f>
        <v>1. kolo</v>
      </c>
      <c r="CF50" s="678"/>
      <c r="CG50" s="446"/>
      <c r="CH50" s="678" t="str">
        <f>[1]List1!$I$13</f>
        <v>2. kolo</v>
      </c>
      <c r="CI50" s="678"/>
      <c r="CK50" s="678" t="str">
        <f>[1]List1!$I$12</f>
        <v>1. kolo</v>
      </c>
      <c r="CL50" s="678"/>
      <c r="CM50" s="446"/>
      <c r="CN50" s="678" t="str">
        <f>[1]List1!$I$13</f>
        <v>2. kolo</v>
      </c>
      <c r="CO50" s="678"/>
      <c r="CQ50" s="678" t="str">
        <f>[1]List1!$I$12</f>
        <v>1. kolo</v>
      </c>
      <c r="CR50" s="678"/>
      <c r="CS50" s="446"/>
      <c r="CT50" s="678" t="str">
        <f>[1]List1!$I$13</f>
        <v>2. kolo</v>
      </c>
      <c r="CU50" s="678"/>
      <c r="CW50" s="678" t="str">
        <f>[1]List1!$I$12</f>
        <v>1. kolo</v>
      </c>
      <c r="CX50" s="678"/>
      <c r="CY50" s="446"/>
      <c r="CZ50" s="678" t="str">
        <f>[1]List1!$I$13</f>
        <v>2. kolo</v>
      </c>
      <c r="DA50" s="678"/>
      <c r="DC50" s="678" t="str">
        <f>[1]List1!$I$12</f>
        <v>1. kolo</v>
      </c>
      <c r="DD50" s="678"/>
      <c r="DE50" s="446"/>
      <c r="DF50" s="678" t="str">
        <f>[1]List1!$I$13</f>
        <v>2. kolo</v>
      </c>
      <c r="DG50" s="678"/>
      <c r="DI50" s="678" t="str">
        <f>[1]List1!$I$12</f>
        <v>1. kolo</v>
      </c>
      <c r="DJ50" s="678"/>
      <c r="DK50" s="446"/>
      <c r="DL50" s="678" t="str">
        <f>[1]List1!$I$13</f>
        <v>2. kolo</v>
      </c>
      <c r="DM50" s="678"/>
      <c r="DO50" s="678" t="str">
        <f>[1]List1!$I$12</f>
        <v>1. kolo</v>
      </c>
      <c r="DP50" s="678"/>
      <c r="DQ50" s="446"/>
      <c r="DR50" s="678" t="str">
        <f>[1]List1!$I$13</f>
        <v>2. kolo</v>
      </c>
      <c r="DS50" s="678"/>
      <c r="DU50" s="678" t="str">
        <f>[1]List1!$I$12</f>
        <v>1. kolo</v>
      </c>
      <c r="DV50" s="678"/>
      <c r="DW50" s="446"/>
      <c r="DX50" s="678" t="str">
        <f>[1]List1!$I$13</f>
        <v>2. kolo</v>
      </c>
      <c r="DY50" s="678"/>
      <c r="EA50" s="678" t="str">
        <f>[1]List1!$I$12</f>
        <v>1. kolo</v>
      </c>
      <c r="EB50" s="678"/>
      <c r="EC50" s="446"/>
      <c r="ED50" s="678" t="str">
        <f>[1]List1!$I$13</f>
        <v>2. kolo</v>
      </c>
      <c r="EE50" s="678"/>
      <c r="EG50" s="678" t="str">
        <f>[1]List1!$I$12</f>
        <v>1. kolo</v>
      </c>
      <c r="EH50" s="678"/>
      <c r="EI50" s="446"/>
      <c r="EJ50" s="678" t="str">
        <f>[1]List1!$I$13</f>
        <v>2. kolo</v>
      </c>
      <c r="EK50" s="678"/>
      <c r="EM50" s="678" t="str">
        <f>[1]List1!$I$12</f>
        <v>1. kolo</v>
      </c>
      <c r="EN50" s="678"/>
      <c r="EO50" s="446"/>
      <c r="EP50" s="678" t="str">
        <f>[1]List1!$I$13</f>
        <v>2. kolo</v>
      </c>
      <c r="EQ50" s="678"/>
      <c r="ES50" s="678" t="str">
        <f>[1]List1!$I$12</f>
        <v>1. kolo</v>
      </c>
      <c r="ET50" s="678"/>
      <c r="EU50" s="446"/>
      <c r="EV50" s="678" t="str">
        <f>[1]List1!$I$13</f>
        <v>2. kolo</v>
      </c>
      <c r="EW50" s="678"/>
      <c r="EY50" s="678" t="str">
        <f>[1]List1!$I$12</f>
        <v>1. kolo</v>
      </c>
      <c r="EZ50" s="678"/>
      <c r="FA50" s="446"/>
      <c r="FB50" s="678" t="str">
        <f>[1]List1!$I$13</f>
        <v>2. kolo</v>
      </c>
      <c r="FC50" s="678"/>
      <c r="FE50" s="678" t="str">
        <f>[1]List1!$I$12</f>
        <v>1. kolo</v>
      </c>
      <c r="FF50" s="678"/>
      <c r="FG50" s="446"/>
      <c r="FH50" s="678" t="str">
        <f>[1]List1!$I$13</f>
        <v>2. kolo</v>
      </c>
      <c r="FI50" s="678"/>
      <c r="FK50" s="678" t="str">
        <f>[1]List1!$I$12</f>
        <v>1. kolo</v>
      </c>
      <c r="FL50" s="678"/>
      <c r="FM50" s="446"/>
      <c r="FN50" s="678" t="str">
        <f>[1]List1!$I$13</f>
        <v>2. kolo</v>
      </c>
      <c r="FO50" s="678"/>
      <c r="FQ50" s="678" t="str">
        <f>[1]List1!$I$12</f>
        <v>1. kolo</v>
      </c>
      <c r="FR50" s="678"/>
      <c r="FS50" s="446"/>
      <c r="FT50" s="678" t="str">
        <f>[1]List1!$I$13</f>
        <v>2. kolo</v>
      </c>
      <c r="FU50" s="678"/>
      <c r="FW50" s="678" t="str">
        <f>[1]List1!$I$12</f>
        <v>1. kolo</v>
      </c>
      <c r="FX50" s="678"/>
      <c r="FY50" s="446"/>
      <c r="FZ50" s="678" t="str">
        <f>[1]List1!$I$13</f>
        <v>2. kolo</v>
      </c>
      <c r="GA50" s="678"/>
      <c r="GC50" s="678" t="str">
        <f>[1]List1!$I$12</f>
        <v>1. kolo</v>
      </c>
      <c r="GD50" s="678"/>
      <c r="GE50" s="446"/>
      <c r="GF50" s="678" t="str">
        <f>[1]List1!$I$13</f>
        <v>2. kolo</v>
      </c>
      <c r="GG50" s="678"/>
      <c r="GI50" s="678" t="str">
        <f>[1]List1!$I$12</f>
        <v>1. kolo</v>
      </c>
      <c r="GJ50" s="678"/>
      <c r="GK50" s="446"/>
      <c r="GL50" s="678" t="str">
        <f>[1]List1!$I$13</f>
        <v>2. kolo</v>
      </c>
      <c r="GM50" s="678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5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5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5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5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5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5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5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5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5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8" thickBot="1" x14ac:dyDescent="0.3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5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5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5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5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5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5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5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5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5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8" thickBot="1" x14ac:dyDescent="0.3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5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5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5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5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5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5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5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5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5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5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5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5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5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5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5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5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5">
      <c r="AG88" s="359" t="str">
        <f>AG68</f>
        <v>1. kolo</v>
      </c>
      <c r="AI88" s="359" t="str">
        <f>[1]List1!$A$49</f>
        <v>modrý</v>
      </c>
    </row>
    <row r="89" spans="33:61" x14ac:dyDescent="0.25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5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5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5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5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5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5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5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5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5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5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5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5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5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5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5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5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5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5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5">
      <c r="AG108" s="359" t="str">
        <f>AL50</f>
        <v>2. kolo</v>
      </c>
      <c r="AI108" s="359" t="str">
        <f>AI68</f>
        <v>červený</v>
      </c>
    </row>
    <row r="109" spans="33:61" x14ac:dyDescent="0.25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5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5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5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5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5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5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5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5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5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5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5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5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5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5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5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5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5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5">
      <c r="AG128" s="359" t="str">
        <f>AG108</f>
        <v>2. kolo</v>
      </c>
      <c r="AI128" s="359" t="str">
        <f>AI88</f>
        <v>modrý</v>
      </c>
    </row>
    <row r="129" spans="33:60" x14ac:dyDescent="0.25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5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5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5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5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5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5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5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5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5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5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5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5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5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5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5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5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5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5">
      <c r="AY147" s="455"/>
    </row>
    <row r="148" spans="20:60" ht="13.8" thickBot="1" x14ac:dyDescent="0.3"/>
    <row r="149" spans="20:60" ht="13.8" thickBot="1" x14ac:dyDescent="0.3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5">
      <c r="AI151" s="678" t="str">
        <f>AI50</f>
        <v>1. kolo</v>
      </c>
      <c r="AJ151" s="678"/>
      <c r="AM151" s="678" t="str">
        <f>AG108</f>
        <v>2. kolo</v>
      </c>
      <c r="AN151" s="678"/>
    </row>
    <row r="152" spans="20:60" x14ac:dyDescent="0.25">
      <c r="T152" s="338"/>
      <c r="U152" s="98"/>
      <c r="V152" s="98"/>
      <c r="W152" s="98"/>
      <c r="X152" s="338"/>
      <c r="Y152" s="98"/>
    </row>
    <row r="153" spans="20:60" x14ac:dyDescent="0.25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5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4</v>
      </c>
    </row>
    <row r="155" spans="20:60" x14ac:dyDescent="0.25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7</v>
      </c>
      <c r="AN155" s="463">
        <f t="shared" si="290"/>
        <v>5</v>
      </c>
    </row>
    <row r="156" spans="20:60" x14ac:dyDescent="0.25">
      <c r="AG156" s="455">
        <v>4</v>
      </c>
      <c r="AI156" s="463">
        <f t="shared" si="287"/>
        <v>0</v>
      </c>
      <c r="AJ156" s="463">
        <f t="shared" si="288"/>
        <v>0</v>
      </c>
      <c r="AM156" s="463">
        <f t="shared" si="289"/>
        <v>0</v>
      </c>
      <c r="AN156" s="463">
        <f t="shared" si="290"/>
        <v>0</v>
      </c>
    </row>
    <row r="157" spans="20:60" x14ac:dyDescent="0.25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5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5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5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5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5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5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5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5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5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5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5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5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I13" sqref="I13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234" customWidth="1"/>
    <col min="38" max="38" width="2.6640625" style="234" customWidth="1"/>
    <col min="39" max="41" width="4.6640625" style="257" customWidth="1"/>
    <col min="42" max="42" width="4.6640625" style="234" customWidth="1"/>
    <col min="43" max="43" width="2.6640625" style="513" customWidth="1"/>
    <col min="44" max="47" width="4.6640625" style="266" customWidth="1"/>
    <col min="48" max="48" width="2.6640625" style="513" customWidth="1"/>
    <col min="49" max="52" width="4.6640625" style="274" customWidth="1"/>
    <col min="53" max="53" width="2.6640625" style="513" customWidth="1"/>
    <col min="54" max="57" width="4.6640625" style="294" customWidth="1"/>
    <col min="58" max="58" width="4.6640625" style="274" hidden="1" customWidth="1"/>
    <col min="59" max="59" width="9.109375" hidden="1" customWidth="1"/>
    <col min="60" max="64" width="4.6640625" style="216" hidden="1" customWidth="1"/>
    <col min="65" max="66" width="4.6640625" style="294" hidden="1" customWidth="1"/>
    <col min="67" max="67" width="4.6640625" style="555" hidden="1" customWidth="1"/>
    <col min="68" max="69" width="4.6640625" style="216" hidden="1" customWidth="1"/>
    <col min="70" max="72" width="4.6640625" style="234" hidden="1" customWidth="1"/>
    <col min="73" max="74" width="4.6640625" style="216" hidden="1" customWidth="1"/>
    <col min="75" max="75" width="4.6640625" style="231" hidden="1" customWidth="1"/>
    <col min="76" max="77" width="4.6640625" style="216" hidden="1" customWidth="1"/>
    <col min="78" max="79" width="4.6640625" style="231" hidden="1" customWidth="1"/>
    <col min="80" max="81" width="4.6640625" style="216" hidden="1" customWidth="1"/>
    <col min="82" max="92" width="4.6640625" style="563" hidden="1" customWidth="1"/>
    <col min="93" max="93" width="4.6640625" style="234" hidden="1" customWidth="1"/>
    <col min="94" max="112" width="4.6640625" style="216" hidden="1" customWidth="1"/>
    <col min="113" max="113" width="4.88671875" style="234" hidden="1" customWidth="1"/>
    <col min="114" max="115" width="4.6640625" style="234" hidden="1" customWidth="1"/>
    <col min="116" max="124" width="4.6640625" style="216" hidden="1" customWidth="1"/>
    <col min="125" max="125" width="6" style="216" hidden="1" customWidth="1"/>
    <col min="126" max="126" width="4.6640625" style="216" hidden="1" customWidth="1"/>
    <col min="127" max="127" width="4.6640625" hidden="1" customWidth="1"/>
    <col min="128" max="128" width="6.109375" style="244" hidden="1" customWidth="1"/>
    <col min="129" max="129" width="4.6640625" style="244" hidden="1" customWidth="1"/>
    <col min="130" max="130" width="5.88671875" style="244" hidden="1" customWidth="1"/>
    <col min="131" max="132" width="4.6640625" style="244" hidden="1" customWidth="1"/>
    <col min="133" max="133" width="6.33203125" style="244" hidden="1" customWidth="1"/>
    <col min="134" max="134" width="4.6640625" style="244" hidden="1" customWidth="1"/>
    <col min="135" max="135" width="4.6640625" style="257" hidden="1" customWidth="1"/>
    <col min="136" max="136" width="6.109375" style="257" hidden="1" customWidth="1"/>
    <col min="137" max="138" width="4.6640625" style="257" hidden="1" customWidth="1"/>
    <col min="139" max="139" width="4.6640625" style="604" hidden="1" customWidth="1"/>
    <col min="140" max="144" width="4.6640625" style="257" hidden="1" customWidth="1"/>
    <col min="145" max="145" width="7.109375" style="257" hidden="1" customWidth="1"/>
    <col min="146" max="146" width="8.5546875" style="262" hidden="1" customWidth="1"/>
    <col min="147" max="147" width="4.6640625" style="262" hidden="1" customWidth="1"/>
    <col min="148" max="148" width="4.6640625" style="257" hidden="1" customWidth="1"/>
    <col min="149" max="149" width="4.6640625" style="263" hidden="1" customWidth="1"/>
    <col min="150" max="150" width="4.6640625" style="257" hidden="1" customWidth="1"/>
    <col min="151" max="168" width="4.6640625" style="263" hidden="1" customWidth="1"/>
    <col min="169" max="169" width="4.6640625" style="265" hidden="1" customWidth="1"/>
    <col min="170" max="191" width="4.6640625" style="257" hidden="1" customWidth="1"/>
    <col min="192" max="192" width="4.6640625" style="294" hidden="1" customWidth="1"/>
    <col min="193" max="193" width="4.6640625" style="281" hidden="1" customWidth="1"/>
    <col min="194" max="200" width="4.6640625" style="274" hidden="1" customWidth="1"/>
    <col min="201" max="201" width="4.6640625" style="294" hidden="1" customWidth="1"/>
    <col min="202" max="217" width="4.6640625" style="274" hidden="1" customWidth="1"/>
    <col min="218" max="218" width="4.6640625" style="294" hidden="1" customWidth="1"/>
    <col min="219" max="222" width="4.6640625" style="274" hidden="1" customWidth="1"/>
    <col min="223" max="223" width="4.6640625" style="281" hidden="1" customWidth="1"/>
    <col min="224" max="230" width="4.6640625" style="274" hidden="1" customWidth="1"/>
    <col min="231" max="231" width="4.6640625" style="281" hidden="1" customWidth="1"/>
    <col min="232" max="238" width="4.6640625" style="274" hidden="1" customWidth="1"/>
    <col min="239" max="239" width="4.6640625" style="287" hidden="1" customWidth="1"/>
    <col min="240" max="246" width="4.6640625" style="274" hidden="1" customWidth="1"/>
    <col min="247" max="250" width="4.6640625" style="287" hidden="1" customWidth="1"/>
    <col min="251" max="261" width="4.6640625" style="274" hidden="1" customWidth="1"/>
    <col min="262" max="277" width="4.6640625" style="281" hidden="1" customWidth="1"/>
    <col min="278" max="278" width="4.6640625" style="303" hidden="1" customWidth="1"/>
    <col min="279" max="280" width="4.6640625" style="281" hidden="1" customWidth="1"/>
    <col min="281" max="281" width="4.6640625" style="287" hidden="1" customWidth="1"/>
    <col min="282" max="287" width="4.6640625" style="281" hidden="1" customWidth="1"/>
    <col min="288" max="289" width="4.6640625" style="287" hidden="1" customWidth="1"/>
    <col min="290" max="290" width="4.6640625" style="294" hidden="1" customWidth="1"/>
    <col min="291" max="291" width="4.6640625" style="287" hidden="1" customWidth="1"/>
    <col min="292" max="292" width="4.6640625" style="281" hidden="1" customWidth="1"/>
    <col min="293" max="295" width="4.6640625" hidden="1" customWidth="1"/>
    <col min="296" max="337" width="4.6640625" style="317" hidden="1" customWidth="1"/>
    <col min="338" max="338" width="9.109375" style="317" hidden="1" customWidth="1"/>
    <col min="339" max="354" width="9.109375" style="317" customWidth="1"/>
    <col min="355" max="364" width="9.109375" customWidth="1"/>
  </cols>
  <sheetData>
    <row r="1" spans="1:354" ht="25.5" customHeight="1" x14ac:dyDescent="0.25">
      <c r="A1" s="744" t="str">
        <f>[1]List1!$A$11</f>
        <v>Tabulka kvalifikace</v>
      </c>
      <c r="B1" s="744"/>
      <c r="C1" s="744"/>
      <c r="D1" s="744"/>
      <c r="E1" s="744"/>
      <c r="F1" s="744"/>
      <c r="G1" s="744"/>
      <c r="H1" s="744"/>
      <c r="I1" s="744"/>
      <c r="J1" s="744"/>
      <c r="K1" s="744"/>
      <c r="L1" s="744"/>
      <c r="M1" s="744"/>
      <c r="N1" s="744"/>
      <c r="O1" s="744"/>
      <c r="P1" s="744"/>
      <c r="Q1" s="744"/>
      <c r="R1" s="744"/>
      <c r="S1" s="744"/>
      <c r="T1" s="744"/>
      <c r="U1" s="744"/>
      <c r="V1" s="744"/>
      <c r="W1" s="744"/>
      <c r="X1" s="744"/>
      <c r="Y1" s="744"/>
      <c r="Z1" s="744"/>
      <c r="AA1" s="744"/>
      <c r="AB1" s="744"/>
      <c r="AC1" s="744"/>
      <c r="AD1" s="744"/>
      <c r="AE1" s="744"/>
      <c r="BH1" s="216" t="str">
        <f>[1]List1!$G$26</f>
        <v>dis.</v>
      </c>
    </row>
    <row r="2" spans="1:354" ht="17.399999999999999" x14ac:dyDescent="0.3">
      <c r="A2" s="778" t="str">
        <f>'Vážní listina'!A2:I2</f>
        <v>XVII. ročník turnaje v zápase řecko-římském O pohár Františka Nesvadbíka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R2" s="778"/>
      <c r="S2" s="778"/>
      <c r="T2" s="778"/>
      <c r="U2" s="778"/>
      <c r="V2" s="778"/>
      <c r="W2" s="778"/>
      <c r="X2" s="778"/>
      <c r="Y2" s="778"/>
      <c r="Z2" s="778"/>
      <c r="AA2" s="778"/>
      <c r="AB2" s="778"/>
      <c r="AC2" s="778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4</v>
      </c>
      <c r="CK2" s="563">
        <f>LARGE(CH7:CH22,CB7)</f>
        <v>4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5">
      <c r="A3" s="23" t="str">
        <f>CONCATENATE([1]List1!$A$3)</f>
        <v>Místo:</v>
      </c>
      <c r="B3" s="780" t="str">
        <f>CONCATENATE('Vážní listina'!D3)</f>
        <v>Čechovice</v>
      </c>
      <c r="C3" s="780"/>
      <c r="D3" s="780"/>
      <c r="E3" s="780"/>
      <c r="G3" s="753" t="str">
        <f>[1]List1!$C$9</f>
        <v>Počet zápasníků</v>
      </c>
      <c r="H3" s="753"/>
      <c r="I3" s="753"/>
      <c r="J3" s="753"/>
      <c r="K3" s="753"/>
      <c r="L3" s="753"/>
      <c r="M3" s="753"/>
      <c r="N3" s="753"/>
      <c r="O3" s="753"/>
      <c r="P3" s="753"/>
      <c r="Q3" s="753"/>
      <c r="R3" s="753"/>
      <c r="S3" s="753"/>
      <c r="T3" s="753"/>
      <c r="U3" s="753"/>
      <c r="V3" s="753"/>
      <c r="W3" s="753"/>
      <c r="X3" s="44"/>
      <c r="Y3" s="44"/>
      <c r="Z3" s="103">
        <f>'Vážní listina'!AE3</f>
        <v>7</v>
      </c>
      <c r="AA3" s="8"/>
      <c r="AH3" s="754" t="str">
        <f>[1]List1!$A$33</f>
        <v>P á r o v á n í    z á p a s n í k ů</v>
      </c>
      <c r="AI3" s="754"/>
      <c r="AJ3" s="754"/>
      <c r="AK3" s="754"/>
      <c r="AL3" s="754"/>
      <c r="AM3" s="754"/>
      <c r="AN3" s="754"/>
      <c r="AO3" s="754"/>
      <c r="AP3" s="754"/>
      <c r="AQ3" s="754"/>
      <c r="AR3" s="754"/>
      <c r="AS3" s="754"/>
      <c r="AT3" s="754"/>
      <c r="AU3" s="754"/>
      <c r="AV3" s="754"/>
      <c r="AW3" s="754"/>
      <c r="AX3" s="754"/>
      <c r="AY3" s="754"/>
      <c r="AZ3" s="754"/>
      <c r="BA3" s="754"/>
      <c r="BB3" s="754"/>
      <c r="BC3" s="754"/>
      <c r="BD3" s="754"/>
      <c r="BE3" s="754"/>
      <c r="BH3" s="555" t="s">
        <v>12</v>
      </c>
      <c r="CB3" s="88"/>
      <c r="CC3" s="88"/>
      <c r="CD3" s="678" t="str">
        <f>E6</f>
        <v>1. kolo</v>
      </c>
      <c r="CE3" s="678"/>
      <c r="CF3" s="678"/>
      <c r="CG3" s="678"/>
      <c r="CH3" s="678"/>
      <c r="CI3" s="678" t="str">
        <f>H6</f>
        <v>2. kolo</v>
      </c>
      <c r="CJ3" s="678"/>
      <c r="CK3" s="678"/>
      <c r="CL3" s="678"/>
      <c r="CM3" s="678"/>
      <c r="CV3" s="216">
        <f>SUM(CV7:CV22)</f>
        <v>3</v>
      </c>
      <c r="EQ3" s="263"/>
      <c r="GB3" s="790" t="str">
        <f>[1]List1!$A$11</f>
        <v>Tabulka kvalifikace</v>
      </c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KG3" s="303"/>
      <c r="KH3" s="303"/>
      <c r="KI3" s="303"/>
    </row>
    <row r="4" spans="1:354" ht="13.8" thickBot="1" x14ac:dyDescent="0.3">
      <c r="A4" s="23" t="str">
        <f>CONCATENATE([1]List1!$A$4)</f>
        <v>Datum:</v>
      </c>
      <c r="B4" s="8" t="str">
        <f>CONCATENATE('Vážní listina'!D4)</f>
        <v xml:space="preserve"> 3.12.2022 </v>
      </c>
      <c r="C4" s="8"/>
      <c r="E4" s="8"/>
      <c r="F4" s="8"/>
      <c r="G4" s="8" t="str">
        <f>CONCATENATE([1]List1!$A$5)</f>
        <v>Hmotnost:</v>
      </c>
      <c r="H4" s="8"/>
      <c r="I4" s="8"/>
      <c r="J4" s="783" t="str">
        <f>CONCATENATE('Vážní listina'!F4)</f>
        <v>ml.ž 63 kg</v>
      </c>
      <c r="K4" s="783"/>
      <c r="L4" s="783"/>
      <c r="M4" s="783"/>
      <c r="N4" s="783"/>
      <c r="O4" s="783"/>
      <c r="P4" s="783"/>
      <c r="Q4" s="273"/>
      <c r="R4" s="273"/>
      <c r="S4" s="273"/>
      <c r="T4" s="300"/>
      <c r="U4" s="300"/>
      <c r="V4" s="300"/>
      <c r="W4" s="779" t="str">
        <f>CONCATENATE([1]List1!$A$6)</f>
        <v>styl:</v>
      </c>
      <c r="X4" s="779"/>
      <c r="Y4" s="779"/>
      <c r="Z4" s="779" t="str">
        <f>CONCATENATE('Vážní listina'!I4)</f>
        <v>ř.ř.</v>
      </c>
      <c r="AA4" s="779"/>
      <c r="AB4" s="779"/>
      <c r="AC4" s="779"/>
      <c r="AH4" s="754"/>
      <c r="AI4" s="754"/>
      <c r="AJ4" s="754"/>
      <c r="AK4" s="754"/>
      <c r="AL4" s="754"/>
      <c r="AM4" s="754"/>
      <c r="AN4" s="754"/>
      <c r="AO4" s="754"/>
      <c r="AP4" s="754"/>
      <c r="AQ4" s="754"/>
      <c r="AR4" s="754"/>
      <c r="AS4" s="754"/>
      <c r="AT4" s="754"/>
      <c r="AU4" s="754"/>
      <c r="AV4" s="754"/>
      <c r="AW4" s="754"/>
      <c r="AX4" s="754"/>
      <c r="AY4" s="754"/>
      <c r="AZ4" s="754"/>
      <c r="BA4" s="754"/>
      <c r="BB4" s="754"/>
      <c r="BC4" s="754"/>
      <c r="BD4" s="754"/>
      <c r="BE4" s="754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42" t="str">
        <f>[1]List1!$A$14</f>
        <v>3. kolo</v>
      </c>
      <c r="CP4" s="742"/>
      <c r="CQ4" s="742"/>
      <c r="CR4" s="742"/>
      <c r="CS4" s="742"/>
      <c r="CT4" s="742"/>
      <c r="CU4" s="742"/>
      <c r="CV4" s="742"/>
      <c r="CW4" s="742"/>
      <c r="CX4" s="743"/>
      <c r="DL4" s="235"/>
      <c r="DM4" s="211"/>
      <c r="DX4" s="220"/>
      <c r="EB4" s="251"/>
      <c r="ED4" s="271"/>
      <c r="EE4" s="742" t="str">
        <f>[1]List1!$A$15</f>
        <v>4. kolo</v>
      </c>
      <c r="EF4" s="742"/>
      <c r="EG4" s="742"/>
      <c r="EH4" s="742"/>
      <c r="EI4" s="742"/>
      <c r="EJ4" s="742"/>
      <c r="EK4" s="742"/>
      <c r="EL4" s="742"/>
      <c r="EM4" s="742"/>
      <c r="EN4" s="742"/>
      <c r="EO4" s="742"/>
      <c r="EP4" s="742"/>
      <c r="EQ4" s="742"/>
      <c r="ER4" s="742"/>
      <c r="ES4" s="742"/>
      <c r="ET4" s="743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4" thickTop="1" thickBot="1" x14ac:dyDescent="0.3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1"/>
      <c r="AA5" s="771"/>
      <c r="AB5" s="772"/>
      <c r="AC5" s="5" t="s">
        <v>12</v>
      </c>
      <c r="AD5" s="43"/>
      <c r="AE5" s="43"/>
      <c r="AH5" s="710" t="str">
        <f>K6</f>
        <v>3. kolo</v>
      </c>
      <c r="AI5" s="711"/>
      <c r="AJ5" s="711"/>
      <c r="AK5" s="712"/>
      <c r="AL5" s="235"/>
      <c r="AM5" s="710" t="str">
        <f>[1]List1!$A$15</f>
        <v>4. kolo</v>
      </c>
      <c r="AN5" s="711"/>
      <c r="AO5" s="711"/>
      <c r="AP5" s="712"/>
      <c r="AQ5" s="518"/>
      <c r="AR5" s="710" t="str">
        <f>[1]List1!$A$16</f>
        <v>5. kolo</v>
      </c>
      <c r="AS5" s="711"/>
      <c r="AT5" s="711"/>
      <c r="AU5" s="712"/>
      <c r="AV5" s="518"/>
      <c r="AW5" s="710" t="str">
        <f>[1]List1!$B$16</f>
        <v>6. kolo</v>
      </c>
      <c r="AX5" s="711"/>
      <c r="AY5" s="711"/>
      <c r="AZ5" s="712"/>
      <c r="BA5" s="518"/>
      <c r="BB5" s="710" t="str">
        <f>[1]List1!$B$15</f>
        <v>7. kolo</v>
      </c>
      <c r="BC5" s="711"/>
      <c r="BD5" s="711"/>
      <c r="BE5" s="712"/>
      <c r="BF5" s="276"/>
      <c r="BH5" s="742" t="str">
        <f>[1]List1!$E$26</f>
        <v>počet proher</v>
      </c>
      <c r="BI5" s="742"/>
      <c r="BJ5" s="742"/>
      <c r="BK5" s="742"/>
      <c r="BL5" s="742"/>
      <c r="BM5" s="742"/>
      <c r="BN5" s="742"/>
      <c r="BO5" s="742"/>
      <c r="BP5" s="742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42" t="str">
        <f>[1]List1!$C$17</f>
        <v>počet závodníků</v>
      </c>
      <c r="CR5" s="742"/>
      <c r="CS5" s="742"/>
      <c r="CT5" s="742"/>
      <c r="CU5" s="742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793" t="s">
        <v>20</v>
      </c>
      <c r="DY5" s="742"/>
      <c r="DZ5" s="742"/>
      <c r="EA5" s="742"/>
      <c r="EB5" s="794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3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42" t="str">
        <f>DX5</f>
        <v>losování</v>
      </c>
      <c r="FO5" s="742"/>
      <c r="FP5" s="742"/>
      <c r="FQ5" s="742"/>
      <c r="FR5" s="742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42" t="str">
        <f>[1]List1!$A$16</f>
        <v>5. kolo</v>
      </c>
      <c r="HE5" s="742"/>
      <c r="HF5" s="742"/>
      <c r="HG5" s="742"/>
      <c r="HH5" s="742"/>
      <c r="HI5" s="742"/>
      <c r="HJ5" s="742"/>
      <c r="HK5" s="742"/>
      <c r="HL5" s="742"/>
      <c r="HM5" s="742"/>
      <c r="HN5" s="742"/>
      <c r="HO5" s="742"/>
      <c r="HP5" s="742"/>
      <c r="HQ5" s="742"/>
      <c r="HR5" s="742"/>
      <c r="HS5" s="742"/>
      <c r="HT5" s="283">
        <f>SUM(HT7:HT24)</f>
        <v>3</v>
      </c>
      <c r="HU5" s="283"/>
      <c r="HV5" s="741" t="str">
        <f>ID6</f>
        <v>chyba</v>
      </c>
      <c r="HW5" s="742"/>
      <c r="HX5" s="742"/>
      <c r="HY5" s="742"/>
      <c r="HZ5" s="742"/>
      <c r="IA5" s="742"/>
      <c r="IB5" s="742"/>
      <c r="IC5" s="742"/>
      <c r="ID5" s="742"/>
      <c r="IE5" s="742"/>
      <c r="IF5" s="742"/>
      <c r="IG5" s="742"/>
      <c r="IH5" s="743"/>
      <c r="II5" s="741" t="str">
        <f>[1]List1!$C$11</f>
        <v>do tabulky</v>
      </c>
      <c r="IJ5" s="742"/>
      <c r="IK5" s="742"/>
      <c r="IL5" s="742"/>
      <c r="IM5" s="742"/>
      <c r="IN5" s="742"/>
      <c r="IO5" s="742"/>
      <c r="IP5" s="789"/>
      <c r="IQ5" s="285"/>
      <c r="IR5" s="296"/>
      <c r="IS5" s="742" t="str">
        <f>[1]List1!$B$16</f>
        <v>6. kolo</v>
      </c>
      <c r="IT5" s="742"/>
      <c r="IU5" s="742"/>
      <c r="IV5" s="742"/>
      <c r="IW5" s="742"/>
      <c r="IX5" s="742"/>
      <c r="IY5" s="742"/>
      <c r="IZ5" s="742"/>
      <c r="JA5" s="742"/>
      <c r="JB5" s="742"/>
      <c r="JC5" s="742"/>
      <c r="JD5" s="742"/>
      <c r="JE5" s="742"/>
      <c r="JF5" s="742"/>
      <c r="JG5" s="742"/>
      <c r="JH5" s="283"/>
      <c r="JI5" s="295">
        <f>SUM(JI7:JI24)</f>
        <v>3</v>
      </c>
      <c r="JJ5" s="297"/>
      <c r="JK5" s="741" t="str">
        <f>HV5</f>
        <v>chyba</v>
      </c>
      <c r="JL5" s="742"/>
      <c r="JM5" s="742"/>
      <c r="JN5" s="742"/>
      <c r="JO5" s="742"/>
      <c r="JP5" s="742"/>
      <c r="JQ5" s="742"/>
      <c r="JR5" s="742"/>
      <c r="JS5" s="742"/>
      <c r="JT5" s="742"/>
      <c r="JU5" s="742"/>
      <c r="JV5" s="742"/>
      <c r="JW5" s="742"/>
      <c r="JX5" s="743"/>
      <c r="JY5" s="741" t="str">
        <f>II5</f>
        <v>do tabulky</v>
      </c>
      <c r="JZ5" s="742"/>
      <c r="KA5" s="742"/>
      <c r="KB5" s="742"/>
      <c r="KC5" s="742"/>
      <c r="KD5" s="742"/>
      <c r="KE5" s="742"/>
      <c r="KF5" s="789"/>
      <c r="KG5" s="285"/>
      <c r="KH5" s="304"/>
      <c r="KI5" s="791" t="str">
        <f>[1]List1!$B$15</f>
        <v>7. kolo</v>
      </c>
      <c r="KJ5" s="791"/>
      <c r="KK5" s="791"/>
      <c r="KL5" s="791"/>
      <c r="KM5" s="791"/>
      <c r="KN5" s="791"/>
      <c r="KO5" s="791"/>
      <c r="KP5" s="791"/>
      <c r="KQ5" s="791"/>
      <c r="KR5" s="791"/>
      <c r="KS5" s="791"/>
      <c r="KT5" s="791"/>
      <c r="KU5" s="791"/>
      <c r="KV5" s="791"/>
      <c r="KW5" s="791"/>
      <c r="KX5" s="791"/>
      <c r="KY5" s="319"/>
      <c r="KZ5" s="321">
        <f>SUM(KZ7:KZ24)</f>
        <v>3</v>
      </c>
      <c r="LA5" s="318"/>
      <c r="LB5" s="741" t="str">
        <f>JK5</f>
        <v>chyba</v>
      </c>
      <c r="LC5" s="742"/>
      <c r="LD5" s="742"/>
      <c r="LE5" s="742"/>
      <c r="LF5" s="742"/>
      <c r="LG5" s="742"/>
      <c r="LH5" s="742"/>
      <c r="LI5" s="742"/>
      <c r="LJ5" s="742"/>
      <c r="LK5" s="742"/>
      <c r="LL5" s="742"/>
      <c r="LM5" s="742"/>
      <c r="LN5" s="742"/>
      <c r="LO5" s="743"/>
      <c r="LP5" s="741" t="str">
        <f>JY5</f>
        <v>do tabulky</v>
      </c>
      <c r="LQ5" s="742"/>
      <c r="LR5" s="742"/>
      <c r="LS5" s="742"/>
      <c r="LT5" s="742"/>
      <c r="LU5" s="742"/>
      <c r="LV5" s="742"/>
      <c r="LW5" s="789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24" t="str">
        <f>CONCATENATE([1]List1!$A$12)</f>
        <v>1. kolo</v>
      </c>
      <c r="F6" s="725"/>
      <c r="G6" s="726"/>
      <c r="H6" s="724" t="str">
        <f>CONCATENATE([1]List1!$A$13)</f>
        <v>2. kolo</v>
      </c>
      <c r="I6" s="725"/>
      <c r="J6" s="726"/>
      <c r="K6" s="724" t="str">
        <f>CONCATENATE([1]List1!$A$14)</f>
        <v>3. kolo</v>
      </c>
      <c r="L6" s="725"/>
      <c r="M6" s="726"/>
      <c r="N6" s="724" t="str">
        <f>CONCATENATE([1]List1!$A$15)</f>
        <v>4. kolo</v>
      </c>
      <c r="O6" s="725"/>
      <c r="P6" s="726"/>
      <c r="Q6" s="724" t="str">
        <f>CONCATENATE([1]List1!$A$16)</f>
        <v>5. kolo</v>
      </c>
      <c r="R6" s="725"/>
      <c r="S6" s="726"/>
      <c r="T6" s="724" t="str">
        <f>CONCATENATE([1]List1!$B$16)</f>
        <v>6. kolo</v>
      </c>
      <c r="U6" s="725"/>
      <c r="V6" s="726"/>
      <c r="W6" s="724" t="str">
        <f>CONCATENATE([1]List1!$B$15)</f>
        <v>7. kolo</v>
      </c>
      <c r="X6" s="725"/>
      <c r="Y6" s="726"/>
      <c r="Z6" s="755" t="str">
        <f>CONCATENATE([1]List1!$A$17)</f>
        <v>výsledky              B   T   O</v>
      </c>
      <c r="AA6" s="756"/>
      <c r="AB6" s="757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4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1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1</v>
      </c>
      <c r="HS6" s="246" t="str">
        <f>HP6</f>
        <v>VL</v>
      </c>
      <c r="HT6" s="247">
        <f>HT5-((FLOOR(HT5/2,1))*2)</f>
        <v>1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1</v>
      </c>
      <c r="JH6" s="246" t="str">
        <f>HS6</f>
        <v>VL</v>
      </c>
      <c r="JI6" s="247">
        <f>JI5-((FLOOR(JI5/2,1))*2)</f>
        <v>1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1</v>
      </c>
      <c r="KX6" s="98"/>
      <c r="KY6" s="246" t="str">
        <f>JH6</f>
        <v>VL</v>
      </c>
      <c r="KZ6" s="247">
        <f>KZ5-((FLOOR(KZ5/2,1))*2)</f>
        <v>1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3">
      <c r="A7" s="781" t="str">
        <f>'Vážní listina'!HQ7</f>
        <v>Zatloukal Martin</v>
      </c>
      <c r="B7" s="782" t="str">
        <f>'Vážní listina'!HR7</f>
        <v>Čech.</v>
      </c>
      <c r="C7" s="775" t="str">
        <f>IF(BP7="","",(IF(BP7&gt;1,$BH$2,"")))</f>
        <v/>
      </c>
      <c r="D7" s="773">
        <f>'Vážní listina'!HK7</f>
        <v>1</v>
      </c>
      <c r="E7" s="774">
        <f>'Vážní listina'!HL7</f>
        <v>2</v>
      </c>
      <c r="F7" s="24">
        <v>5</v>
      </c>
      <c r="G7" s="25"/>
      <c r="H7" s="727">
        <f>IF(H5="","",('Vážní listina'!HM7))</f>
        <v>3</v>
      </c>
      <c r="I7" s="24">
        <v>5</v>
      </c>
      <c r="J7" s="25"/>
      <c r="K7" s="727">
        <f>IF(K5="","",DV7)</f>
        <v>4</v>
      </c>
      <c r="L7" s="24">
        <v>1</v>
      </c>
      <c r="M7" s="25"/>
      <c r="N7" s="727" t="str">
        <f>IF(N5="","",FZ7)</f>
        <v/>
      </c>
      <c r="O7" s="24"/>
      <c r="P7" s="25"/>
      <c r="Q7" s="727" t="str">
        <f>IF(Q5="","",IP7)</f>
        <v/>
      </c>
      <c r="R7" s="24"/>
      <c r="S7" s="25"/>
      <c r="T7" s="727" t="str">
        <f>IF(T5="","",KF7)</f>
        <v/>
      </c>
      <c r="U7" s="24"/>
      <c r="V7" s="25"/>
      <c r="W7" s="784" t="str">
        <f>IF(W9="","",(IF(W5="","",LW7)))</f>
        <v/>
      </c>
      <c r="X7" s="24"/>
      <c r="Y7" s="25"/>
      <c r="Z7" s="730">
        <f>IF(A7="","",(F7+I7+L7+O7+R7+U7+X7))</f>
        <v>11</v>
      </c>
      <c r="AA7" s="732">
        <f>IF(A7="","",(F8+I8+L8+O8+R8+U8+X8))</f>
        <v>8</v>
      </c>
      <c r="AB7" s="758">
        <f>IF(A7="","",(G7+J7+M7+P7+S7+V7+Y7))</f>
        <v>0</v>
      </c>
      <c r="AC7" s="739" t="str">
        <f>(HF80)</f>
        <v>F</v>
      </c>
      <c r="AD7" s="760"/>
      <c r="AE7" s="723">
        <f>IF(D7="","",(IF('Tabulka finále'!$BK$47=1,(IF('Tabulka finále'!$K$56="","",(IF($AC$5="","",(IF($H$5="","",(FW118))))))),"")))</f>
        <v>2</v>
      </c>
      <c r="AG7" s="503">
        <v>1</v>
      </c>
      <c r="AH7" s="186">
        <f>IF($K$5="","",(IF($H$5="x",CU7,"")))</f>
        <v>1</v>
      </c>
      <c r="AI7" s="254">
        <v>4</v>
      </c>
      <c r="AJ7" s="235">
        <f>IF($K$5="","",(IF(EB7="",(IF(AH7="","",(IF(CX7=$BQ$2,$BQ$2,IF((AI7)="","",AI7))))),EB7)))</f>
        <v>4</v>
      </c>
      <c r="AK7" s="211" t="str">
        <f>IF($K$5="","",(IF($H$5="","",(DM7))))</f>
        <v/>
      </c>
      <c r="AM7" s="260">
        <f>IF($N$5="x",EQ7,"")</f>
        <v>4</v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0</v>
      </c>
      <c r="BI7" s="216">
        <f>IF(H7=$BQ$2,0,(IF(A7="","",(IF(I7="","",(IF(I7&lt;2,1,0)))))))</f>
        <v>0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1</v>
      </c>
      <c r="BR7" s="234">
        <f>BP7</f>
        <v>1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1</v>
      </c>
      <c r="BW7" s="231">
        <f>IF(BH7="",$BK$2,(IF(C7=$BH$2,$BK$2,BP7)))</f>
        <v>1</v>
      </c>
      <c r="BX7" s="216">
        <v>1</v>
      </c>
      <c r="BY7" s="216">
        <f>SMALL($BV$7:$BV$38,BX7)</f>
        <v>1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/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4</v>
      </c>
      <c r="DR7" s="216">
        <f>IF(DN7=$DO$7,$DP$7,IF(DN7=$DO$8,$DP$8,IF(DN7=$DO$9,$DP$9,IF(DN7=$DO$10,$DP$10,IF(DN7=$DO$11,$DP$11,IF(DN7=$DO$12,$DP$12,IF(DN7=$DO$13,$DP$13,IF(DN7=$DO$14,$DP$14,""))))))))</f>
        <v>4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4</v>
      </c>
      <c r="DV7" s="216">
        <f>DT7</f>
        <v>4</v>
      </c>
      <c r="DX7" s="220">
        <f>AH7</f>
        <v>1</v>
      </c>
      <c r="DY7" s="244">
        <f>IF(AI7="","",AI7)</f>
        <v>4</v>
      </c>
      <c r="DZ7" s="244">
        <f>IF(DX7="","",(IF(DY7="",(IF(DX7=$DY$7,$DX$7,IF(DX7=$DY$8,$DX$8,IF(DX7=$DY$9,$DX$9,IF(DX7=$DY$10,$DX$10,IF(DX7=$DY$11,$DX$11,IF(DX7=$DY$12,$DX$12,IF(DX7=$DY$13,$DX$13,IF(DX7=$DY$14,$DX$14,""))))))))),DY7)))</f>
        <v>4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4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/>
      </c>
      <c r="EH7" s="267" t="str">
        <f>IF(EE7="","",(INDEX($EG$7:$EG$22,EE7)))</f>
        <v/>
      </c>
      <c r="EI7" s="605"/>
      <c r="EJ7" s="267">
        <f>IF(EE7="",$BK$2,(IF(EH7=$BH$2,$BK$2,ED7)))</f>
        <v>1</v>
      </c>
      <c r="EK7" s="267">
        <f>SMALL($EJ$7:$EJ$22,ED7)</f>
        <v>1</v>
      </c>
      <c r="EL7" s="267">
        <f>IF(EK7=$BK$2,"",(INDEX($EE$7:$EE$22,EK7)))</f>
        <v>1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4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4</v>
      </c>
      <c r="EZ7" s="267" t="str">
        <f>EG7</f>
        <v/>
      </c>
      <c r="FA7" s="267"/>
      <c r="FB7" s="267">
        <f>EQ7</f>
        <v>4</v>
      </c>
      <c r="FC7" s="267" t="str">
        <f>IF(AN7="","",AN7)</f>
        <v/>
      </c>
      <c r="FD7" s="267">
        <f>IF(FB7="","",(INDEX($EW$7:$EW$22,FB7)))</f>
        <v>3</v>
      </c>
      <c r="FE7" s="267">
        <f>IF(FB7="","",(INDEX($EX$7:$EX$22,FB7)))</f>
        <v>2</v>
      </c>
      <c r="FF7" s="267">
        <f>IF(FB7="","",(INDEX($EY$7:$EY$22,FB7)))</f>
        <v>1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4</v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4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/>
      </c>
      <c r="GM7" s="274">
        <f>IF(F7="","",F7)</f>
        <v>5</v>
      </c>
      <c r="GN7" s="274">
        <f>IF(I7="","",I7)</f>
        <v>5</v>
      </c>
      <c r="GO7" s="274">
        <f>IF(L7="","",L7)</f>
        <v>1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4</v>
      </c>
      <c r="GV7" s="274">
        <f>IF(I8="","",I8)</f>
        <v>2</v>
      </c>
      <c r="GW7" s="274">
        <f>IF(L8="","",L8)</f>
        <v>2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/>
      </c>
      <c r="HE7" s="274">
        <f>FN7</f>
        <v>4</v>
      </c>
      <c r="HF7" s="274">
        <f>IF(HE7="","",(INDEX($GD$7:$GD$22,HE7)))</f>
        <v>3</v>
      </c>
      <c r="HG7" s="274">
        <f>IF(HE7="","",(INDEX($GE$7:$GE$22,HE7)))</f>
        <v>2</v>
      </c>
      <c r="HH7" s="274">
        <f>IF(HE7="","",(INDEX($GF$7:$GF$22,HE7)))</f>
        <v>1</v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4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3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4</v>
      </c>
      <c r="HY7" s="281">
        <f>IF(HS7="","",(INDEX($GE$7:$GE$22,$HS7)))</f>
        <v>1</v>
      </c>
      <c r="HZ7" s="281" t="str">
        <f>IF(HS7="","",(INDEX($GF$7:$GF$22,$HS7)))</f>
        <v>VL</v>
      </c>
      <c r="IA7" s="281" t="str">
        <f>IF(HS7="","",(INDEX($GG$7:$GG$22,$HS7)))</f>
        <v>VL</v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3</v>
      </c>
      <c r="IN7" s="287" t="str">
        <f>IF(HC7=$IM$7,$IL$7,IF(HC7=$IM$8,$IL$8,IF(HC7=$IM$9,$IL$9,IF(HC7=$IM$10,$IL$10,IF(HC7=$IM$11,$IL$11,IF(HC7=$IM$12,$IL$12,IF(HC7=$IM$13,$IL$13,IF(HC7=$IM$14,$IL$14,""))))))))</f>
        <v>VL</v>
      </c>
      <c r="IP7" s="287" t="str">
        <f>IN7</f>
        <v>VL</v>
      </c>
      <c r="IQ7" s="285"/>
      <c r="IR7" s="144">
        <v>1</v>
      </c>
      <c r="IS7" s="294" t="str">
        <f>IF(SUM($BH7:$BL7)&gt;1,$BH$2,"")</f>
        <v/>
      </c>
      <c r="IT7" s="274">
        <f>HS7</f>
        <v>3</v>
      </c>
      <c r="IU7" s="274">
        <f>IF(IT7="","",(INDEX($GD$7:$GD$22,IT7)))</f>
        <v>4</v>
      </c>
      <c r="IV7" s="294">
        <f>IF($IT7="","",(INDEX($GE$7:$GE$22,$IT7)))</f>
        <v>1</v>
      </c>
      <c r="IW7" s="294" t="str">
        <f>IF($IT7="","",(INDEX($GF$7:$GF$22,$IT7)))</f>
        <v>VL</v>
      </c>
      <c r="IX7" s="294" t="str">
        <f>IF($IT7="","",(INDEX($GG$7:$GG$22,$IT7)))</f>
        <v>VL</v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3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1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2</v>
      </c>
      <c r="JN7" s="294">
        <f>IF(JH7="","",(INDEX($GE$7:$GE$22,$JH7)))</f>
        <v>3</v>
      </c>
      <c r="JO7" s="294">
        <f>IF(JH7="","",(INDEX($GF$7:$GF$22,$JH7)))</f>
        <v>4</v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1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/>
      </c>
      <c r="KJ7" s="330">
        <f>JH7</f>
        <v>1</v>
      </c>
      <c r="KK7" s="330">
        <f>IF(KJ7="","",(INDEX($GD$7:$GD$22,KJ7)))</f>
        <v>2</v>
      </c>
      <c r="KL7" s="330">
        <f>IF($KJ7="","",(INDEX($GE$7:$GE$22,$KJ7)))</f>
        <v>3</v>
      </c>
      <c r="KM7" s="330">
        <f>IF($KJ7="","",(INDEX($GF$7:$GF$22,$KJ7)))</f>
        <v>4</v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1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3</v>
      </c>
      <c r="LE7" s="330">
        <f>IF(KY7="","",(INDEX($GE$7:$GE$22,$KY7)))</f>
        <v>2</v>
      </c>
      <c r="LF7" s="330">
        <f>IF(KY7="","",(INDEX($GF$7:$GF$22,$KY7)))</f>
        <v>1</v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4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3">
      <c r="A8" s="747"/>
      <c r="B8" s="749"/>
      <c r="C8" s="745"/>
      <c r="D8" s="751"/>
      <c r="E8" s="721"/>
      <c r="F8" s="29">
        <v>4</v>
      </c>
      <c r="G8" s="28"/>
      <c r="H8" s="728"/>
      <c r="I8" s="29">
        <v>2</v>
      </c>
      <c r="J8" s="28"/>
      <c r="K8" s="728"/>
      <c r="L8" s="29">
        <v>2</v>
      </c>
      <c r="M8" s="28"/>
      <c r="N8" s="728"/>
      <c r="O8" s="29"/>
      <c r="P8" s="28"/>
      <c r="Q8" s="728"/>
      <c r="R8" s="29"/>
      <c r="S8" s="28"/>
      <c r="T8" s="728"/>
      <c r="U8" s="29"/>
      <c r="V8" s="28"/>
      <c r="W8" s="729"/>
      <c r="X8" s="29"/>
      <c r="Y8" s="28"/>
      <c r="Z8" s="731"/>
      <c r="AA8" s="733"/>
      <c r="AB8" s="738"/>
      <c r="AC8" s="740"/>
      <c r="AD8" s="737"/>
      <c r="AE8" s="722"/>
      <c r="AG8" s="504">
        <v>2</v>
      </c>
      <c r="AH8" s="477">
        <f t="shared" ref="AH8:AH22" si="13">IF($K$5="","",(IF($H$5="x",CU8,"")))</f>
        <v>3</v>
      </c>
      <c r="AI8" s="255" t="s">
        <v>88</v>
      </c>
      <c r="AJ8" s="478" t="str">
        <f t="shared" ref="AJ8:AJ17" si="14">IF($K$5="","",(IF(EB8="",(IF(AH8="","",(IF(CX8=$BQ$2,$BQ$2,IF((AI8)="","",AI8))))),EB8)))</f>
        <v>VL</v>
      </c>
      <c r="AK8" s="479" t="str">
        <f t="shared" ref="AK8:AK18" si="15">IF($K$5="","",(IF($H$5="","",(DM8))))</f>
        <v/>
      </c>
      <c r="AM8" s="477">
        <f t="shared" ref="AM8:AM22" si="16">IF($N$5="x",EQ8,"")</f>
        <v>1</v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2</v>
      </c>
      <c r="BS8" s="234">
        <f>D9</f>
        <v>2</v>
      </c>
      <c r="BT8" s="244" t="str">
        <f>IF(SUM(BH9,BI9)=2,$BH$2,"")</f>
        <v>xxx</v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3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>xxx</v>
      </c>
      <c r="CQ8" s="565">
        <f t="shared" ref="CQ8:CQ22" si="33">IF(CM8=0,$BK$2,CM8)</f>
        <v>2</v>
      </c>
      <c r="CR8" s="235">
        <f t="shared" ref="CR8:CR22" si="34">IF(CP8="",CB8,$BK$2)</f>
        <v>999</v>
      </c>
      <c r="CS8" s="235">
        <f t="shared" ref="CS8:CS22" si="35">SMALL($CR$7:$CR$22,CB8)</f>
        <v>3</v>
      </c>
      <c r="CT8" s="235">
        <f t="shared" ref="CT8:CT22" si="36">IF(CS8=$BK$2,"",(INDEX($CQ$7:$CQ$22,CS8)))</f>
        <v>3</v>
      </c>
      <c r="CU8" s="235">
        <f t="shared" ref="CU8:CU22" si="37">IF(CT8=$BK$2,"",CT8)</f>
        <v>3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3</v>
      </c>
      <c r="DA8" s="234">
        <f>D9</f>
        <v>2</v>
      </c>
      <c r="DB8" s="234">
        <f>E9</f>
        <v>1</v>
      </c>
      <c r="DC8" s="234">
        <f>H9</f>
        <v>4</v>
      </c>
      <c r="DD8" s="234" t="str">
        <f t="shared" ref="DD8:DD22" si="40">IF((C8)="","",C8)</f>
        <v/>
      </c>
      <c r="DF8" s="234">
        <f t="shared" ref="DF8:DF22" si="41">IF((ISNUMBER(AH8)),(INDEX($DA$7:$DA$22,AH8)),"")</f>
        <v>3</v>
      </c>
      <c r="DG8" s="234">
        <f t="shared" ref="DG8:DG22" si="42">IF((ISNUMBER(AH8)),(INDEX($DB$7:$DB$22,AH8)),"")</f>
        <v>4</v>
      </c>
      <c r="DH8" s="234">
        <f t="shared" ref="DH8:DH22" si="43">IF((ISNUMBER(AH8)),(INDEX($DC$7:$DC$22,AH8)),"")</f>
        <v>1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3</v>
      </c>
      <c r="DP8" s="234" t="str">
        <f t="shared" ref="DP8:DP22" si="48">AJ8</f>
        <v>VL</v>
      </c>
      <c r="DR8" s="234" t="str">
        <f t="shared" ref="DR8:DR22" si="49">IF(DN8=$DO$7,$DP$7,IF(DN8=$DO$8,$DP$8,IF(DN8=$DO$9,$DP$9,IF(DN8=$DO$10,$DP$10,IF(DN8=$DO$11,$DP$11,IF(DN8=$DO$12,$DP$12,IF(DN8=$DO$13,$DP$13,IF(DN8=$DO$14,$DP$14,""))))))))</f>
        <v/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 t="str">
        <f t="shared" ref="DT8:DT22" si="51">IF(DR8="",DS8,DR8)</f>
        <v/>
      </c>
      <c r="DX8" s="220">
        <f t="shared" ref="DX8:DX22" si="52">AH8</f>
        <v>3</v>
      </c>
      <c r="DY8" s="244" t="str">
        <f t="shared" ref="DY8:DY22" si="53">IF(AI8="","",AI8)</f>
        <v>VL</v>
      </c>
      <c r="DZ8" s="244" t="str">
        <f t="shared" ref="DZ8:DZ22" si="54">IF(DX8="","",(IF(DY8="",(IF(DX8=$DY$7,$DX$7,IF(DX8=$DY$8,$DX$8,IF(DX8=$DY$9,$DX$9,IF(DX8=$DY$10,$DX$10,IF(DX8=$DY$11,$DX$11,IF(DX8=$DY$12,$DX$12,IF(DX8=$DY$13,$DX$13,IF(DX8=$DY$14,$DX$14,""))))))))),DY8)))</f>
        <v>VL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 t="str">
        <f t="shared" ref="EB8:EB22" si="56">IF(DZ8="",EA8,DZ8)</f>
        <v>VL</v>
      </c>
      <c r="ED8" s="145">
        <v>2</v>
      </c>
      <c r="EE8" s="266">
        <f t="shared" ref="EE8:EE22" si="57">CU8</f>
        <v>3</v>
      </c>
      <c r="EF8" s="267">
        <f t="shared" ref="EF8:EF22" si="58">IF(EE8="",0,1)</f>
        <v>1</v>
      </c>
      <c r="EG8" s="266" t="str">
        <f>IF(SUM($BH9:$BJ9)=2,$BH$2,"")</f>
        <v>xxx</v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2</v>
      </c>
      <c r="EL8" s="267">
        <f t="shared" ref="EL8:EL22" si="62">IF(EK8=$BK$2,"",(INDEX($EE$7:$EE$22,EK8)))</f>
        <v>3</v>
      </c>
      <c r="EM8" s="267">
        <f t="shared" ref="EM8:EM22" si="63">IF(EK8=EK9,1,0)</f>
        <v>0</v>
      </c>
      <c r="EN8" s="267">
        <f t="shared" ref="EN8:EN22" si="64">IF(EM8=EM9,0,1)</f>
        <v>0</v>
      </c>
      <c r="EO8" s="267"/>
      <c r="EP8" s="267"/>
      <c r="EQ8" s="267">
        <f>IF(EL8="","",(IF($CV$6=0,EL8,EL7)))</f>
        <v>1</v>
      </c>
      <c r="ER8" s="267">
        <f t="shared" ref="ER8:ER22" si="65">IF(EQ8="",0,1)</f>
        <v>1</v>
      </c>
      <c r="ES8" s="267">
        <f t="shared" ref="ES8:ES22" si="66">IF(ER8=ER9,0,1)</f>
        <v>0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4</v>
      </c>
      <c r="EY8" s="266" t="str">
        <f>K9</f>
        <v/>
      </c>
      <c r="EZ8" s="267" t="str">
        <f t="shared" ref="EZ8:EZ22" si="68">EG8</f>
        <v>xxx</v>
      </c>
      <c r="FA8" s="267"/>
      <c r="FB8" s="267">
        <f t="shared" ref="FB8:FB22" si="69">EQ8</f>
        <v>1</v>
      </c>
      <c r="FC8" s="267" t="str">
        <f t="shared" ref="FC8:FC22" si="70">IF(AN8="","",AN8)</f>
        <v/>
      </c>
      <c r="FD8" s="537">
        <f t="shared" ref="FD8:FD17" si="71">IF(FB8="","",(INDEX($EW$7:$EW$22,FB8)))</f>
        <v>2</v>
      </c>
      <c r="FE8" s="537">
        <f t="shared" ref="FE8:FE17" si="72">IF(FB8="","",(INDEX($EX$7:$EX$22,FB8)))</f>
        <v>3</v>
      </c>
      <c r="FF8" s="537">
        <f t="shared" ref="FF8:FF17" si="73">IF(FB8="","",(INDEX($EY$7:$EY$22,FB8)))</f>
        <v>4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1</v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4</v>
      </c>
      <c r="GF8" s="274" t="str">
        <f>IF(K9="","",K9)</f>
        <v/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>xxx</v>
      </c>
      <c r="GM8" s="274">
        <f>IF(F9="","",F9)</f>
        <v>0</v>
      </c>
      <c r="GN8" s="274">
        <f>IF(I9="","",I9)</f>
        <v>0</v>
      </c>
      <c r="GO8" s="274" t="str">
        <f>IF(L9="","",L9)</f>
        <v/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0</v>
      </c>
      <c r="GV8" s="274">
        <f>IF(I10="","",I10)</f>
        <v>0</v>
      </c>
      <c r="GW8" s="274" t="str">
        <f>IF(L10="","",L10)</f>
        <v/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>xxx</v>
      </c>
      <c r="HE8" s="281">
        <f t="shared" ref="HE8:HE22" si="86">FN8</f>
        <v>1</v>
      </c>
      <c r="HF8" s="281">
        <f t="shared" ref="HF8:HF22" si="87">IF(HE8="","",(INDEX($GD$7:$GD$22,HE8)))</f>
        <v>2</v>
      </c>
      <c r="HG8" s="281">
        <f t="shared" ref="HG8:HG22" si="88">IF(HE8="","",(INDEX($GE$7:$GE$22,HE8)))</f>
        <v>3</v>
      </c>
      <c r="HH8" s="281">
        <f t="shared" ref="HH8:HH22" si="89">IF(HE8="","",(INDEX($GF$7:$GF$22,HE8)))</f>
        <v>4</v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1</v>
      </c>
      <c r="HQ8" s="281">
        <f t="shared" ref="HQ8:HQ23" si="94">VALUE(IF(HN8=HN9,1,0))</f>
        <v>0</v>
      </c>
      <c r="HR8" s="281">
        <f t="shared" ref="HR8:HR22" si="95">IF(HQ8=HQ9,0,1)</f>
        <v>0</v>
      </c>
      <c r="HS8" s="274">
        <f>IF(HR7=0,(IF($HQ$6=1,HO7,HO8)),"")</f>
        <v>4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3</v>
      </c>
      <c r="HY8" s="281">
        <f t="shared" ref="HY8:HY22" si="100">IF(HS8="","",(INDEX($GE$7:$GE$22,$HS8)))</f>
        <v>2</v>
      </c>
      <c r="HZ8" s="281">
        <f t="shared" ref="HZ8:HZ22" si="101">IF(HS8="","",(INDEX($GF$7:$GF$22,$HS8)))</f>
        <v>1</v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4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>xxx</v>
      </c>
      <c r="IT8" s="294">
        <f t="shared" ref="IT8:IT22" si="112">HS8</f>
        <v>4</v>
      </c>
      <c r="IU8" s="294">
        <f t="shared" ref="IU8:IU22" si="113">IF(IT8="","",(INDEX($GD$7:$GD$22,IT8)))</f>
        <v>3</v>
      </c>
      <c r="IV8" s="294">
        <f t="shared" ref="IV8:IV22" si="114">IF($IT8="","",(INDEX($GE$7:$GE$22,$IT8)))</f>
        <v>2</v>
      </c>
      <c r="IW8" s="294">
        <f t="shared" ref="IW8:IW22" si="115">IF($IT8="","",(INDEX($GF$7:$GF$22,$IT8)))</f>
        <v>1</v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4</v>
      </c>
      <c r="JF8" s="294">
        <f t="shared" ref="JF8:JF21" si="121">VALUE(IF(JC8=JC9,1,0))</f>
        <v>0</v>
      </c>
      <c r="JG8" s="294">
        <f t="shared" ref="JG8:JG21" si="122">IF(JF8=JF9,0,1)</f>
        <v>0</v>
      </c>
      <c r="JH8" s="294">
        <f>IF(JG7=0,(IF($JF$6=1,JD7,JD8)),"")</f>
        <v>3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4</v>
      </c>
      <c r="JN8" s="320">
        <f t="shared" ref="JN8:JN19" si="126">IF(JH8="","",(INDEX($GE$7:$GE$22,$JH8)))</f>
        <v>1</v>
      </c>
      <c r="JO8" s="320" t="str">
        <f t="shared" ref="JO8:JO19" si="127">IF(JH8="","",(INDEX($GF$7:$GF$22,$JH8)))</f>
        <v>VL</v>
      </c>
      <c r="JP8" s="320" t="str">
        <f t="shared" ref="JP8:JP19" si="128">IF(JH8="","",(INDEX($GG$7:$GG$22,$JH8)))</f>
        <v>VL</v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3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>xxx</v>
      </c>
      <c r="KJ8" s="317">
        <f t="shared" ref="KJ8:KJ22" si="137">JH8</f>
        <v>3</v>
      </c>
      <c r="KK8" s="317">
        <f t="shared" ref="KK8:KK22" si="138">IF(KJ8="","",(INDEX($GD$7:$GD$22,KJ8)))</f>
        <v>4</v>
      </c>
      <c r="KL8" s="317">
        <f t="shared" ref="KL8:KL22" si="139">IF($KJ8="","",(INDEX($GE$7:$GE$22,$KJ8)))</f>
        <v>1</v>
      </c>
      <c r="KM8" s="317" t="str">
        <f t="shared" ref="KM8:KM22" si="140">IF($KJ8="","",(INDEX($GF$7:$GF$22,$KJ8)))</f>
        <v>VL</v>
      </c>
      <c r="KN8" s="317" t="str">
        <f t="shared" ref="KN8:KN22" si="141">IF($KJ8="","",(INDEX($GG$7:$GG$22,$KJ8)))</f>
        <v>VL</v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3</v>
      </c>
      <c r="KW8" s="317">
        <f t="shared" ref="KW8:KW21" si="147">VALUE(IF(KT8=KT9,1,0))</f>
        <v>0</v>
      </c>
      <c r="KX8" s="317">
        <f t="shared" ref="KX8:KX20" si="148">IF(KW8=KW9,0,1)</f>
        <v>0</v>
      </c>
      <c r="KY8" s="320">
        <f>IF(KX7=0,(IF($KW$6=1,KU7,KU8)),"")</f>
        <v>1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2</v>
      </c>
      <c r="LE8" s="324">
        <f t="shared" ref="LE8:LE22" si="153">IF(KY8="","",(INDEX($GE$7:$GE$22,$KY8)))</f>
        <v>3</v>
      </c>
      <c r="LF8" s="324">
        <f t="shared" ref="LF8:LF22" si="154">IF(KY8="","",(INDEX($GF$7:$GF$22,$KY8)))</f>
        <v>4</v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1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3">
      <c r="A9" s="746" t="str">
        <f>'Vážní listina'!HQ9</f>
        <v>Vánko Martin</v>
      </c>
      <c r="B9" s="748" t="str">
        <f>'Vážní listina'!HR9</f>
        <v>Trenčín</v>
      </c>
      <c r="C9" s="745" t="str">
        <f>IF(BP9="","",(IF(BP9&gt;1,$BH$2,"")))</f>
        <v>xxx</v>
      </c>
      <c r="D9" s="750">
        <f>'Vážní listina'!HK9</f>
        <v>2</v>
      </c>
      <c r="E9" s="752">
        <f>'Vážní listina'!HL9</f>
        <v>1</v>
      </c>
      <c r="F9" s="26">
        <v>0</v>
      </c>
      <c r="G9" s="32"/>
      <c r="H9" s="721">
        <f>IF(H5="","",'Vážní listina'!HM9)</f>
        <v>4</v>
      </c>
      <c r="I9" s="26">
        <v>0</v>
      </c>
      <c r="J9" s="32"/>
      <c r="K9" s="721" t="str">
        <f>IF(K5="","",DV9)</f>
        <v/>
      </c>
      <c r="L9" s="26"/>
      <c r="M9" s="32"/>
      <c r="N9" s="721" t="str">
        <f>IF(N5="","",FZ9)</f>
        <v/>
      </c>
      <c r="O9" s="26"/>
      <c r="P9" s="32"/>
      <c r="Q9" s="721" t="str">
        <f>IF(Q5="","",IP9)</f>
        <v/>
      </c>
      <c r="R9" s="26"/>
      <c r="S9" s="32"/>
      <c r="T9" s="721" t="str">
        <f>IF(T5="","",KF9)</f>
        <v/>
      </c>
      <c r="U9" s="26"/>
      <c r="V9" s="32"/>
      <c r="W9" s="729" t="str">
        <f>IF(W5="","",LW9)</f>
        <v/>
      </c>
      <c r="X9" s="26"/>
      <c r="Y9" s="32"/>
      <c r="Z9" s="731">
        <f>IF(A9="","",(F9+I9+L9+O9+R9+U9+X9))</f>
        <v>0</v>
      </c>
      <c r="AA9" s="733">
        <f>IF(A9="","",(F10+I10+L10+O10+R10+U10+X10))</f>
        <v>0</v>
      </c>
      <c r="AB9" s="738">
        <f>IF(A9="","",(G9+J9+M9+P9+S9+V9+Y9))</f>
        <v>0</v>
      </c>
      <c r="AC9" s="734" t="str">
        <f>HF82</f>
        <v/>
      </c>
      <c r="AD9" s="722"/>
      <c r="AE9" s="722">
        <f>IF(D9="","",(IF('Tabulka finále'!$BK$47=1,(IF('Tabulka finále'!$K$56="","",(IF($AC$5="","",(IF($H$5="","",(FW120))))))),"")))</f>
        <v>6</v>
      </c>
      <c r="AG9" s="504">
        <v>3</v>
      </c>
      <c r="AH9" s="477">
        <f t="shared" si="13"/>
        <v>4</v>
      </c>
      <c r="AI9" s="255"/>
      <c r="AJ9" s="478">
        <f t="shared" si="14"/>
        <v>1</v>
      </c>
      <c r="AK9" s="479" t="str">
        <f t="shared" si="15"/>
        <v/>
      </c>
      <c r="AM9" s="477">
        <f t="shared" si="16"/>
        <v>3</v>
      </c>
      <c r="AN9" s="255"/>
      <c r="AO9" s="478" t="str">
        <f t="shared" si="3"/>
        <v>VL</v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1</v>
      </c>
      <c r="BI9" s="266">
        <f>IF(H9=$BQ$2,0,(IF(A9="","",(IF(I9="","",(IF(I9&lt;2,1,0)))))))</f>
        <v>1</v>
      </c>
      <c r="BJ9" s="303" t="str">
        <f>IF(L9="","",(IF(L9&lt;2,1,0)))</f>
        <v/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2</v>
      </c>
      <c r="BR9" s="234">
        <f>BP11</f>
        <v>1</v>
      </c>
      <c r="BS9" s="234">
        <f>D11</f>
        <v>3</v>
      </c>
      <c r="BT9" s="244" t="str">
        <f>IF(SUM(BH11,BI11)=2,$BH$2,"")</f>
        <v/>
      </c>
      <c r="BV9" s="216">
        <f t="shared" si="5"/>
        <v>999</v>
      </c>
      <c r="BW9" s="231">
        <f t="shared" si="25"/>
        <v>999</v>
      </c>
      <c r="BX9" s="216">
        <f t="shared" ref="BX9:BX38" si="168">BX8+1</f>
        <v>3</v>
      </c>
      <c r="BY9" s="216">
        <f t="shared" si="26"/>
        <v>4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/>
      </c>
      <c r="CQ9" s="565">
        <f t="shared" si="33"/>
        <v>3</v>
      </c>
      <c r="CR9" s="235">
        <f t="shared" si="34"/>
        <v>3</v>
      </c>
      <c r="CS9" s="235">
        <f t="shared" si="35"/>
        <v>4</v>
      </c>
      <c r="CT9" s="235">
        <f t="shared" si="36"/>
        <v>4</v>
      </c>
      <c r="CU9" s="235">
        <f t="shared" si="37"/>
        <v>4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>xxx</v>
      </c>
      <c r="DF9" s="234">
        <f t="shared" si="41"/>
        <v>4</v>
      </c>
      <c r="DG9" s="234">
        <f t="shared" si="42"/>
        <v>3</v>
      </c>
      <c r="DH9" s="234">
        <f t="shared" si="43"/>
        <v>2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4</v>
      </c>
      <c r="DP9" s="234">
        <f t="shared" si="48"/>
        <v>1</v>
      </c>
      <c r="DR9" s="234" t="str">
        <f t="shared" si="49"/>
        <v>VL</v>
      </c>
      <c r="DS9" s="234" t="str">
        <f t="shared" si="50"/>
        <v/>
      </c>
      <c r="DT9" s="234" t="str">
        <f t="shared" si="51"/>
        <v>VL</v>
      </c>
      <c r="DV9" s="216" t="str">
        <f>DT8</f>
        <v/>
      </c>
      <c r="DX9" s="220">
        <f t="shared" si="52"/>
        <v>4</v>
      </c>
      <c r="DY9" s="244" t="str">
        <f t="shared" si="53"/>
        <v/>
      </c>
      <c r="DZ9" s="244">
        <f t="shared" si="54"/>
        <v>1</v>
      </c>
      <c r="EA9" s="244" t="str">
        <f t="shared" si="55"/>
        <v/>
      </c>
      <c r="EB9" s="251">
        <f t="shared" si="56"/>
        <v>1</v>
      </c>
      <c r="ED9" s="145">
        <v>3</v>
      </c>
      <c r="EE9" s="266">
        <f t="shared" si="57"/>
        <v>4</v>
      </c>
      <c r="EF9" s="267">
        <f t="shared" si="58"/>
        <v>1</v>
      </c>
      <c r="EG9" s="266" t="str">
        <f>IF(SUM($BH11:$BJ11)=2,$BH$2,"")</f>
        <v/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3</v>
      </c>
      <c r="EL9" s="267">
        <f t="shared" si="62"/>
        <v>4</v>
      </c>
      <c r="EM9" s="267">
        <f t="shared" si="63"/>
        <v>0</v>
      </c>
      <c r="EN9" s="267">
        <f t="shared" si="64"/>
        <v>1</v>
      </c>
      <c r="EO9" s="267"/>
      <c r="EP9" s="267"/>
      <c r="EQ9" s="267">
        <f t="shared" ref="EQ9:EQ22" si="172">IF(EL9="","",(IF($CV$6=0,EL9,EL8)))</f>
        <v>3</v>
      </c>
      <c r="ER9" s="267">
        <f t="shared" si="65"/>
        <v>1</v>
      </c>
      <c r="ES9" s="267">
        <f t="shared" si="66"/>
        <v>1</v>
      </c>
      <c r="ET9" s="269" t="str">
        <f t="shared" si="67"/>
        <v>VL</v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 t="str">
        <f>K11</f>
        <v>VL</v>
      </c>
      <c r="EZ9" s="267" t="str">
        <f t="shared" si="68"/>
        <v/>
      </c>
      <c r="FA9" s="267"/>
      <c r="FB9" s="267">
        <f t="shared" si="69"/>
        <v>3</v>
      </c>
      <c r="FC9" s="267" t="str">
        <f t="shared" si="70"/>
        <v/>
      </c>
      <c r="FD9" s="537">
        <f t="shared" si="71"/>
        <v>4</v>
      </c>
      <c r="FE9" s="537">
        <f t="shared" si="72"/>
        <v>1</v>
      </c>
      <c r="FF9" s="537" t="str">
        <f t="shared" si="73"/>
        <v>VL</v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>
        <f t="shared" si="79"/>
        <v>3</v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>VL</v>
      </c>
      <c r="FS9" s="266"/>
      <c r="FT9" s="266">
        <v>3</v>
      </c>
      <c r="FU9" s="266"/>
      <c r="FV9" s="266" t="str">
        <f t="shared" si="83"/>
        <v>VL</v>
      </c>
      <c r="FW9" s="266" t="str">
        <f t="shared" si="84"/>
        <v/>
      </c>
      <c r="FX9" s="559" t="str">
        <f t="shared" si="85"/>
        <v>VL</v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 t="str">
        <f>IF(K11="","",K11)</f>
        <v>VL</v>
      </c>
      <c r="GG9" s="274" t="str">
        <f>IF(N11="","",N11)</f>
        <v>VL</v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/>
      </c>
      <c r="GM9" s="274">
        <f>IF(F11="","",F11)</f>
        <v>5</v>
      </c>
      <c r="GN9" s="274">
        <f>IF(I11="","",I11)</f>
        <v>0</v>
      </c>
      <c r="GO9" s="274" t="str">
        <f>IF(L11="","",L11)</f>
        <v/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14</v>
      </c>
      <c r="GV9" s="274">
        <f>IF(I12="","",I12)</f>
        <v>0</v>
      </c>
      <c r="GW9" s="274" t="str">
        <f>IF(L12="","",L12)</f>
        <v/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/>
      </c>
      <c r="HE9" s="281">
        <f t="shared" si="86"/>
        <v>3</v>
      </c>
      <c r="HF9" s="281">
        <f t="shared" si="87"/>
        <v>4</v>
      </c>
      <c r="HG9" s="281">
        <f t="shared" si="88"/>
        <v>1</v>
      </c>
      <c r="HH9" s="281" t="str">
        <f t="shared" si="89"/>
        <v>VL</v>
      </c>
      <c r="HI9" s="281" t="str">
        <f t="shared" si="90"/>
        <v>VL</v>
      </c>
      <c r="HK9" s="294" t="str">
        <f t="shared" si="91"/>
        <v/>
      </c>
      <c r="HM9" s="281">
        <f t="shared" si="92"/>
        <v>3</v>
      </c>
      <c r="HN9" s="281">
        <f t="shared" si="93"/>
        <v>3</v>
      </c>
      <c r="HO9" s="281">
        <f t="shared" si="9"/>
        <v>3</v>
      </c>
      <c r="HQ9" s="281">
        <f t="shared" si="94"/>
        <v>0</v>
      </c>
      <c r="HR9" s="281">
        <f t="shared" si="95"/>
        <v>1</v>
      </c>
      <c r="HS9" s="281">
        <f t="shared" ref="HS9:HS22" si="173">IF(HR8=0,(IF($HQ$6=1,HO8,HO9)),"")</f>
        <v>1</v>
      </c>
      <c r="HT9" s="281">
        <f t="shared" si="96"/>
        <v>1</v>
      </c>
      <c r="HU9" s="297" t="str">
        <f t="shared" si="97"/>
        <v>VL</v>
      </c>
      <c r="HV9" s="296"/>
      <c r="HW9" s="283" t="str">
        <f t="shared" si="98"/>
        <v/>
      </c>
      <c r="HX9" s="281">
        <f t="shared" si="99"/>
        <v>2</v>
      </c>
      <c r="HY9" s="281">
        <f t="shared" si="100"/>
        <v>3</v>
      </c>
      <c r="HZ9" s="281">
        <f t="shared" si="101"/>
        <v>4</v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>
        <f t="shared" si="105"/>
        <v>0</v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>VL</v>
      </c>
      <c r="IM9" s="287">
        <f t="shared" si="110"/>
        <v>1</v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/>
      </c>
      <c r="IT9" s="294">
        <f t="shared" si="112"/>
        <v>1</v>
      </c>
      <c r="IU9" s="294">
        <f t="shared" si="113"/>
        <v>2</v>
      </c>
      <c r="IV9" s="294">
        <f t="shared" si="114"/>
        <v>3</v>
      </c>
      <c r="IW9" s="294">
        <f t="shared" si="115"/>
        <v>4</v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3</v>
      </c>
      <c r="JC9" s="294">
        <f t="shared" si="120"/>
        <v>3</v>
      </c>
      <c r="JD9" s="294">
        <f t="shared" si="10"/>
        <v>1</v>
      </c>
      <c r="JF9" s="294">
        <f t="shared" si="121"/>
        <v>0</v>
      </c>
      <c r="JG9" s="294">
        <f t="shared" si="122"/>
        <v>1</v>
      </c>
      <c r="JH9" s="320">
        <f t="shared" ref="JH9:JH22" si="175">IF(JG8=0,(IF($JF$6=1,JD8,JD9)),"")</f>
        <v>4</v>
      </c>
      <c r="JI9" s="295">
        <f t="shared" si="123"/>
        <v>1</v>
      </c>
      <c r="JJ9" s="323" t="str">
        <f>IF(AX9="",(IF((JG9*$JI$6)=1,$HS$6,"")),AX9)</f>
        <v>VL</v>
      </c>
      <c r="JL9" s="294" t="str">
        <f t="shared" ref="JL9:JL14" si="176">IF(AX9="","",AX9)</f>
        <v/>
      </c>
      <c r="JM9" s="320">
        <f t="shared" si="125"/>
        <v>3</v>
      </c>
      <c r="JN9" s="320">
        <f t="shared" si="126"/>
        <v>2</v>
      </c>
      <c r="JO9" s="320">
        <f t="shared" si="127"/>
        <v>1</v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>chyba</v>
      </c>
      <c r="JU9" s="294" t="str">
        <f t="shared" si="11"/>
        <v/>
      </c>
      <c r="JV9" s="294">
        <f>IF(JH9="","",(IF(JL9="",0,(IF(JL9=$JH$7,1,IF(JL9=$JH$8,1,IF(JL9=$JH$9,1,IF(JL9=$JH$10,1,IF(JL9=$JH$11,1,IF(JL9=$JH$12,1,IF(JL9=$JH$13,1,IF(JL9=$JH$14,1,0)*0)))))))))))</f>
        <v>0</v>
      </c>
      <c r="JW9" s="295" t="str">
        <f t="shared" si="131"/>
        <v/>
      </c>
      <c r="JX9" s="297" t="str">
        <f t="shared" si="132"/>
        <v>chyba</v>
      </c>
      <c r="JY9" s="296"/>
      <c r="JZ9" s="294" t="str">
        <f t="shared" si="133"/>
        <v/>
      </c>
      <c r="KB9" s="294" t="str">
        <f>IF(JJ9="",IF(JL9="",IF(JZ9="","",JZ9),JL9),JJ9)</f>
        <v>VL</v>
      </c>
      <c r="KC9" s="294">
        <f t="shared" si="135"/>
        <v>4</v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/>
      </c>
      <c r="KJ9" s="317">
        <f t="shared" si="137"/>
        <v>4</v>
      </c>
      <c r="KK9" s="317">
        <f t="shared" si="138"/>
        <v>3</v>
      </c>
      <c r="KL9" s="317">
        <f t="shared" si="139"/>
        <v>2</v>
      </c>
      <c r="KM9" s="317">
        <f t="shared" si="140"/>
        <v>1</v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3</v>
      </c>
      <c r="KT9" s="317">
        <f t="shared" si="146"/>
        <v>3</v>
      </c>
      <c r="KU9" s="317">
        <f t="shared" si="12"/>
        <v>4</v>
      </c>
      <c r="KW9" s="317">
        <f t="shared" si="147"/>
        <v>0</v>
      </c>
      <c r="KX9" s="317">
        <f t="shared" si="148"/>
        <v>1</v>
      </c>
      <c r="KY9" s="320">
        <f t="shared" ref="KY9:KY22" si="178">IF(KX8=0,(IF($KW$6=1,KU8,KU9)),"")</f>
        <v>3</v>
      </c>
      <c r="KZ9" s="321">
        <f t="shared" si="149"/>
        <v>1</v>
      </c>
      <c r="LA9" s="323" t="str">
        <f t="shared" si="150"/>
        <v>VL</v>
      </c>
      <c r="LC9" s="324" t="str">
        <f t="shared" si="151"/>
        <v/>
      </c>
      <c r="LD9" s="324">
        <f t="shared" si="152"/>
        <v>4</v>
      </c>
      <c r="LE9" s="324">
        <f t="shared" si="153"/>
        <v>1</v>
      </c>
      <c r="LF9" s="324" t="str">
        <f t="shared" si="154"/>
        <v>VL</v>
      </c>
      <c r="LG9" s="324" t="str">
        <f t="shared" si="155"/>
        <v>VL</v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>chyba</v>
      </c>
      <c r="LL9" s="478" t="str">
        <f t="shared" si="160"/>
        <v/>
      </c>
      <c r="LM9" s="324">
        <f t="shared" si="161"/>
        <v>0</v>
      </c>
      <c r="LN9" s="327" t="str">
        <f t="shared" si="162"/>
        <v/>
      </c>
      <c r="LO9" s="326" t="str">
        <f t="shared" si="163"/>
        <v>chyba</v>
      </c>
      <c r="LP9" s="322"/>
      <c r="LQ9" s="324" t="str">
        <f t="shared" si="164"/>
        <v/>
      </c>
      <c r="LS9" s="324" t="str">
        <f t="shared" si="165"/>
        <v>VL</v>
      </c>
      <c r="LT9" s="324">
        <f t="shared" si="166"/>
        <v>3</v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3">
      <c r="A10" s="747"/>
      <c r="B10" s="749"/>
      <c r="C10" s="745"/>
      <c r="D10" s="751"/>
      <c r="E10" s="728"/>
      <c r="F10" s="29">
        <v>0</v>
      </c>
      <c r="G10" s="30"/>
      <c r="H10" s="721"/>
      <c r="I10" s="29">
        <v>0</v>
      </c>
      <c r="J10" s="30"/>
      <c r="K10" s="721"/>
      <c r="L10" s="29"/>
      <c r="M10" s="30"/>
      <c r="N10" s="721"/>
      <c r="O10" s="29"/>
      <c r="P10" s="30"/>
      <c r="Q10" s="721"/>
      <c r="R10" s="29"/>
      <c r="S10" s="30"/>
      <c r="T10" s="721"/>
      <c r="U10" s="29"/>
      <c r="V10" s="30"/>
      <c r="W10" s="729"/>
      <c r="X10" s="29"/>
      <c r="Y10" s="30"/>
      <c r="Z10" s="731"/>
      <c r="AA10" s="733"/>
      <c r="AB10" s="738"/>
      <c r="AC10" s="735"/>
      <c r="AD10" s="722"/>
      <c r="AE10" s="722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1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5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>
        <f>D13</f>
        <v>4</v>
      </c>
      <c r="DB10" s="234">
        <f>E13</f>
        <v>3</v>
      </c>
      <c r="DC10" s="234">
        <f>H13</f>
        <v>2</v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 t="str">
        <f t="shared" si="47"/>
        <v/>
      </c>
      <c r="DP10" s="234" t="str">
        <f t="shared" si="48"/>
        <v/>
      </c>
      <c r="DR10" s="234">
        <f t="shared" si="49"/>
        <v>1</v>
      </c>
      <c r="DS10" s="234" t="str">
        <f t="shared" si="50"/>
        <v/>
      </c>
      <c r="DT10" s="234">
        <f t="shared" si="51"/>
        <v>1</v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2</v>
      </c>
      <c r="EY10" s="266">
        <f>K13</f>
        <v>1</v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2</v>
      </c>
      <c r="GF10" s="274">
        <f>IF(K13="","",K13)</f>
        <v>1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>
        <f>IF(F13="","",F13)</f>
        <v>0</v>
      </c>
      <c r="GN10" s="274">
        <f>IF(I13="","",I13)</f>
        <v>5</v>
      </c>
      <c r="GO10" s="274">
        <f>IF(L13="","",L13)</f>
        <v>3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4</v>
      </c>
      <c r="GV10" s="274">
        <f>IF(I14="","",I14)</f>
        <v>10</v>
      </c>
      <c r="GW10" s="274">
        <f>IF(L14="","",L14)</f>
        <v>10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>VL</v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>VL</v>
      </c>
      <c r="LW10" s="324"/>
      <c r="LX10" s="332"/>
    </row>
    <row r="11" spans="1:354" ht="14.25" customHeight="1" thickBot="1" x14ac:dyDescent="0.3">
      <c r="A11" s="746" t="str">
        <f>'Vážní listina'!HQ11</f>
        <v>Dalibor Patkoló</v>
      </c>
      <c r="B11" s="748" t="str">
        <f>'Vážní listina'!HR11</f>
        <v>Šam.</v>
      </c>
      <c r="C11" s="745" t="str">
        <f>IF(BP11="","",(IF(BP11&gt;1,$BH$2,"")))</f>
        <v/>
      </c>
      <c r="D11" s="750">
        <f>'Vážní listina'!HK11</f>
        <v>3</v>
      </c>
      <c r="E11" s="752">
        <f>'Vážní listina'!HL11</f>
        <v>4</v>
      </c>
      <c r="F11" s="26">
        <v>5</v>
      </c>
      <c r="G11" s="33"/>
      <c r="H11" s="752">
        <f>IF(H5="","",'Vážní listina'!HM11)</f>
        <v>1</v>
      </c>
      <c r="I11" s="26">
        <v>0</v>
      </c>
      <c r="J11" s="33"/>
      <c r="K11" s="721" t="str">
        <f>IF(K5="","",DV11)</f>
        <v>VL</v>
      </c>
      <c r="L11" s="26"/>
      <c r="M11" s="33"/>
      <c r="N11" s="721" t="str">
        <f>IF(N5="","",FZ11)</f>
        <v>VL</v>
      </c>
      <c r="O11" s="26"/>
      <c r="P11" s="33"/>
      <c r="Q11" s="721" t="str">
        <f>IF(Q5="","",IP11)</f>
        <v/>
      </c>
      <c r="R11" s="26"/>
      <c r="S11" s="33"/>
      <c r="T11" s="721" t="str">
        <f>IF(T5="","",KF11)</f>
        <v/>
      </c>
      <c r="U11" s="26"/>
      <c r="V11" s="33"/>
      <c r="W11" s="729" t="str">
        <f>IF(W5="","",LW11)</f>
        <v/>
      </c>
      <c r="X11" s="26"/>
      <c r="Y11" s="33"/>
      <c r="Z11" s="731">
        <f>IF(A11="","",(F11+I11+L11+O11+R11+U11+X11))</f>
        <v>5</v>
      </c>
      <c r="AA11" s="733">
        <f>IF(A11="","",(F12+I12+L12+O12+R12+U12+X12))</f>
        <v>14</v>
      </c>
      <c r="AB11" s="738">
        <f>IF(A11="","",(G11+J11+M11+P11+S11+V11+Y11))</f>
        <v>0</v>
      </c>
      <c r="AC11" s="734" t="str">
        <f>HF84</f>
        <v>F</v>
      </c>
      <c r="AD11" s="736"/>
      <c r="AE11" s="722">
        <f>IF(D11="","",(IF('Tabulka finále'!$BK$47=1,(IF('Tabulka finále'!$K$56="","",(IF($AC$5="","",(IF($H$5="","",(FW122))))))),"")))</f>
        <v>3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0</v>
      </c>
      <c r="BI11" s="266">
        <f>IF(H11=$BQ$2,0,(IF(A11="","",(IF(I11="","",(IF(I11&lt;2,1,0)))))))</f>
        <v>1</v>
      </c>
      <c r="BJ11" s="303" t="str">
        <f>IF(L11="","",(IF(L11&lt;2,1,0)))</f>
        <v/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1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3</v>
      </c>
      <c r="BW11" s="231">
        <f t="shared" si="25"/>
        <v>1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/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 t="str">
        <f>DT9</f>
        <v>VL</v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>VL</v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3">
      <c r="A12" s="747"/>
      <c r="B12" s="749"/>
      <c r="C12" s="745"/>
      <c r="D12" s="751"/>
      <c r="E12" s="728"/>
      <c r="F12" s="29">
        <v>14</v>
      </c>
      <c r="G12" s="30"/>
      <c r="H12" s="728"/>
      <c r="I12" s="29">
        <v>0</v>
      </c>
      <c r="J12" s="30"/>
      <c r="K12" s="721"/>
      <c r="L12" s="29"/>
      <c r="M12" s="30"/>
      <c r="N12" s="721"/>
      <c r="O12" s="29"/>
      <c r="P12" s="30"/>
      <c r="Q12" s="721"/>
      <c r="R12" s="29"/>
      <c r="S12" s="30"/>
      <c r="T12" s="721"/>
      <c r="U12" s="29"/>
      <c r="V12" s="30"/>
      <c r="W12" s="729"/>
      <c r="X12" s="29"/>
      <c r="Y12" s="30"/>
      <c r="Z12" s="731"/>
      <c r="AA12" s="733"/>
      <c r="AB12" s="738"/>
      <c r="AC12" s="735"/>
      <c r="AD12" s="737"/>
      <c r="AE12" s="722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3">
      <c r="A13" s="746" t="str">
        <f>'Vážní listina'!HQ13</f>
        <v>Tibor Kubík</v>
      </c>
      <c r="B13" s="748" t="str">
        <f>'Vážní listina'!HR13</f>
        <v>Hod.</v>
      </c>
      <c r="C13" s="745" t="str">
        <f>IF(BP13="","",(IF(BP13&gt;1,$BH$2,"")))</f>
        <v/>
      </c>
      <c r="D13" s="750">
        <f>'Vážní listina'!HK13</f>
        <v>4</v>
      </c>
      <c r="E13" s="752">
        <f>'Vážní listina'!HL13</f>
        <v>3</v>
      </c>
      <c r="F13" s="26">
        <v>0</v>
      </c>
      <c r="G13" s="32"/>
      <c r="H13" s="721">
        <f>IF(H5="","",'Vážní listina'!HM13)</f>
        <v>2</v>
      </c>
      <c r="I13" s="26">
        <v>5</v>
      </c>
      <c r="J13" s="32"/>
      <c r="K13" s="721">
        <f>IF(K5="","",DV13)</f>
        <v>1</v>
      </c>
      <c r="L13" s="26">
        <v>3</v>
      </c>
      <c r="M13" s="32"/>
      <c r="N13" s="721" t="str">
        <f>IF(N5="","",FZ13)</f>
        <v/>
      </c>
      <c r="O13" s="26"/>
      <c r="P13" s="32"/>
      <c r="Q13" s="721" t="str">
        <f>IF(Q5="","",IP13)</f>
        <v/>
      </c>
      <c r="R13" s="26"/>
      <c r="S13" s="32"/>
      <c r="T13" s="721" t="str">
        <f>IF(T5="","",KF13)</f>
        <v/>
      </c>
      <c r="U13" s="26"/>
      <c r="V13" s="32"/>
      <c r="W13" s="729" t="str">
        <f>IF(W5="","",LW13)</f>
        <v/>
      </c>
      <c r="X13" s="26"/>
      <c r="Y13" s="32"/>
      <c r="Z13" s="731">
        <f>IF(A13="","",(F13+I13+L13+O13+R13+U13+X13))</f>
        <v>8</v>
      </c>
      <c r="AA13" s="733">
        <f>IF(A13="","",(F14+I14+L14+O14+R14+U14+X14))</f>
        <v>24</v>
      </c>
      <c r="AB13" s="738">
        <f>IF(A13="","",(G13+J13+M13+P13+S13+V13+Y13))</f>
        <v>0</v>
      </c>
      <c r="AC13" s="734" t="str">
        <f>HF86</f>
        <v>F</v>
      </c>
      <c r="AD13" s="722"/>
      <c r="AE13" s="722">
        <f>IF(D13="","",(IF('Tabulka finále'!$BK$47=1,(IF('Tabulka finále'!$K$56="","",(IF($AC$5="","",(IF($H$5="","",(FW124))))))),"")))</f>
        <v>5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1</v>
      </c>
      <c r="BI13" s="266">
        <f>IF(H13=$BQ$2,0,(IF(A13="","",(IF(I13="","",(IF(I13&lt;2,1,0)))))))</f>
        <v>0</v>
      </c>
      <c r="BJ13" s="303">
        <f>IF(L13="","",(IF(L13&lt;2,1,0)))</f>
        <v>0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1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4</v>
      </c>
      <c r="BW13" s="231">
        <f t="shared" si="25"/>
        <v>1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1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>VL</v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>VL</v>
      </c>
      <c r="LX13" s="332"/>
    </row>
    <row r="14" spans="1:354" ht="14.25" customHeight="1" thickBot="1" x14ac:dyDescent="0.3">
      <c r="A14" s="747"/>
      <c r="B14" s="749"/>
      <c r="C14" s="745"/>
      <c r="D14" s="751"/>
      <c r="E14" s="728"/>
      <c r="F14" s="29">
        <v>4</v>
      </c>
      <c r="G14" s="30"/>
      <c r="H14" s="721"/>
      <c r="I14" s="29">
        <v>10</v>
      </c>
      <c r="J14" s="30"/>
      <c r="K14" s="721"/>
      <c r="L14" s="29">
        <v>10</v>
      </c>
      <c r="M14" s="30"/>
      <c r="N14" s="721"/>
      <c r="O14" s="29"/>
      <c r="P14" s="30"/>
      <c r="Q14" s="721"/>
      <c r="R14" s="29"/>
      <c r="S14" s="30"/>
      <c r="T14" s="721"/>
      <c r="U14" s="29"/>
      <c r="V14" s="30"/>
      <c r="W14" s="729"/>
      <c r="X14" s="29"/>
      <c r="Y14" s="30"/>
      <c r="Z14" s="731"/>
      <c r="AA14" s="733"/>
      <c r="AB14" s="738"/>
      <c r="AC14" s="735"/>
      <c r="AD14" s="722"/>
      <c r="AE14" s="722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3">
      <c r="A15" s="746" t="str">
        <f>'Vážní listina'!HQ15</f>
        <v/>
      </c>
      <c r="B15" s="748" t="str">
        <f>'Vážní listina'!HR15</f>
        <v/>
      </c>
      <c r="C15" s="745" t="str">
        <f>IF(BP15="","",(IF(BP15&gt;1,$BH$2,"")))</f>
        <v/>
      </c>
      <c r="D15" s="750" t="str">
        <f>'Vážní listina'!HK15</f>
        <v/>
      </c>
      <c r="E15" s="752" t="str">
        <f>'Vážní listina'!HL15</f>
        <v/>
      </c>
      <c r="F15" s="26"/>
      <c r="G15" s="33"/>
      <c r="H15" s="752" t="str">
        <f>IF(H5="","",'Vážní listina'!HM15)</f>
        <v/>
      </c>
      <c r="I15" s="26"/>
      <c r="J15" s="33"/>
      <c r="K15" s="721" t="str">
        <f>IF(K5="","",DV15)</f>
        <v/>
      </c>
      <c r="L15" s="26"/>
      <c r="M15" s="33"/>
      <c r="N15" s="721" t="str">
        <f>IF(N5="","",FZ15)</f>
        <v/>
      </c>
      <c r="O15" s="26"/>
      <c r="P15" s="33"/>
      <c r="Q15" s="721" t="str">
        <f>IF(Q5="","",IP15)</f>
        <v/>
      </c>
      <c r="R15" s="26"/>
      <c r="S15" s="33"/>
      <c r="T15" s="721" t="str">
        <f>IF(T5="","",KF15)</f>
        <v/>
      </c>
      <c r="U15" s="26"/>
      <c r="V15" s="33"/>
      <c r="W15" s="729" t="str">
        <f>IF(W5="","",LW15)</f>
        <v/>
      </c>
      <c r="X15" s="26"/>
      <c r="Y15" s="33"/>
      <c r="Z15" s="731" t="str">
        <f>IF(A15="","",(F15+I15+L15+O15+R15+U15+X15))</f>
        <v/>
      </c>
      <c r="AA15" s="733" t="str">
        <f>IF(A15="","",(F16+I16+L16+O16+R16+U16+X16))</f>
        <v/>
      </c>
      <c r="AB15" s="738" t="str">
        <f>IF(A15="","",(G15+J15+M15+P15+S15+V15+Y15))</f>
        <v/>
      </c>
      <c r="AC15" s="734" t="str">
        <f>HF88</f>
        <v/>
      </c>
      <c r="AD15" s="736"/>
      <c r="AE15" s="722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3">
      <c r="A16" s="747"/>
      <c r="B16" s="749"/>
      <c r="C16" s="745"/>
      <c r="D16" s="751"/>
      <c r="E16" s="728"/>
      <c r="F16" s="29"/>
      <c r="G16" s="30"/>
      <c r="H16" s="728"/>
      <c r="I16" s="29"/>
      <c r="J16" s="30"/>
      <c r="K16" s="721"/>
      <c r="L16" s="29"/>
      <c r="M16" s="30"/>
      <c r="N16" s="721"/>
      <c r="O16" s="29"/>
      <c r="P16" s="30"/>
      <c r="Q16" s="721"/>
      <c r="R16" s="29"/>
      <c r="S16" s="30"/>
      <c r="T16" s="721"/>
      <c r="U16" s="29"/>
      <c r="V16" s="30"/>
      <c r="W16" s="729"/>
      <c r="X16" s="29"/>
      <c r="Y16" s="30"/>
      <c r="Z16" s="731"/>
      <c r="AA16" s="733"/>
      <c r="AB16" s="738"/>
      <c r="AC16" s="735"/>
      <c r="AD16" s="737"/>
      <c r="AE16" s="722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3">
      <c r="A17" s="746" t="str">
        <f>'Vážní listina'!HQ17</f>
        <v/>
      </c>
      <c r="B17" s="748" t="str">
        <f>'Vážní listina'!HR17</f>
        <v/>
      </c>
      <c r="C17" s="745" t="str">
        <f>IF(BP17="","",(IF(BP17&gt;1,$BH$2,"")))</f>
        <v/>
      </c>
      <c r="D17" s="750" t="str">
        <f>'Vážní listina'!HK17</f>
        <v/>
      </c>
      <c r="E17" s="752" t="str">
        <f>'Vážní listina'!HL17</f>
        <v/>
      </c>
      <c r="F17" s="26"/>
      <c r="G17" s="32"/>
      <c r="H17" s="721" t="str">
        <f>IF(H5="","",'Vážní listina'!HM17)</f>
        <v/>
      </c>
      <c r="I17" s="26"/>
      <c r="J17" s="32"/>
      <c r="K17" s="721" t="str">
        <f>IF(K5="","",DV17)</f>
        <v/>
      </c>
      <c r="L17" s="26"/>
      <c r="M17" s="32"/>
      <c r="N17" s="721" t="str">
        <f>IF(N5="","",FZ17)</f>
        <v/>
      </c>
      <c r="O17" s="26"/>
      <c r="P17" s="32"/>
      <c r="Q17" s="721" t="str">
        <f>IF(Q5="","",IP17)</f>
        <v/>
      </c>
      <c r="R17" s="26"/>
      <c r="S17" s="32"/>
      <c r="T17" s="721" t="str">
        <f>IF(T5="","",KF17)</f>
        <v/>
      </c>
      <c r="U17" s="26"/>
      <c r="V17" s="32"/>
      <c r="W17" s="729" t="str">
        <f>IF(W5="","",LW17)</f>
        <v/>
      </c>
      <c r="X17" s="26"/>
      <c r="Y17" s="32"/>
      <c r="Z17" s="731" t="str">
        <f>IF(A17="","",(F17+I17+L17+O17+R17+U17+X17))</f>
        <v/>
      </c>
      <c r="AA17" s="733" t="str">
        <f>IF(A17="","",(F18+I18+L18+O18+R18+U18+X18))</f>
        <v/>
      </c>
      <c r="AB17" s="738" t="str">
        <f>IF(A17="","",(G17+J17+M17+P17+S17+V17+Y17))</f>
        <v/>
      </c>
      <c r="AC17" s="734" t="str">
        <f>HF90</f>
        <v/>
      </c>
      <c r="AD17" s="722"/>
      <c r="AE17" s="722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3">
      <c r="A18" s="747"/>
      <c r="B18" s="749"/>
      <c r="C18" s="745"/>
      <c r="D18" s="751"/>
      <c r="E18" s="728"/>
      <c r="F18" s="29"/>
      <c r="G18" s="30"/>
      <c r="H18" s="721"/>
      <c r="I18" s="29"/>
      <c r="J18" s="30"/>
      <c r="K18" s="721"/>
      <c r="L18" s="29"/>
      <c r="M18" s="30"/>
      <c r="N18" s="721"/>
      <c r="O18" s="29"/>
      <c r="P18" s="30"/>
      <c r="Q18" s="721"/>
      <c r="R18" s="29"/>
      <c r="S18" s="30"/>
      <c r="T18" s="721"/>
      <c r="U18" s="29"/>
      <c r="V18" s="30"/>
      <c r="W18" s="729"/>
      <c r="X18" s="29"/>
      <c r="Y18" s="30"/>
      <c r="Z18" s="731"/>
      <c r="AA18" s="733"/>
      <c r="AB18" s="738"/>
      <c r="AC18" s="735"/>
      <c r="AD18" s="722"/>
      <c r="AE18" s="722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3">
      <c r="A19" s="746" t="str">
        <f>'Vážní listina'!HQ19</f>
        <v/>
      </c>
      <c r="B19" s="748" t="str">
        <f>'Vážní listina'!HR19</f>
        <v/>
      </c>
      <c r="C19" s="745" t="str">
        <f>IF(BP19="","",(IF(BP19&gt;1,$BH$2,"")))</f>
        <v/>
      </c>
      <c r="D19" s="750" t="str">
        <f>'Vážní listina'!HK19</f>
        <v/>
      </c>
      <c r="E19" s="752" t="str">
        <f>'Vážní listina'!HL19</f>
        <v/>
      </c>
      <c r="F19" s="26"/>
      <c r="G19" s="33"/>
      <c r="H19" s="752" t="str">
        <f>IF(H5="","",'Vážní listina'!HM19)</f>
        <v/>
      </c>
      <c r="I19" s="26"/>
      <c r="J19" s="33"/>
      <c r="K19" s="721" t="str">
        <f>IF(K5="","",DV19)</f>
        <v/>
      </c>
      <c r="L19" s="26"/>
      <c r="M19" s="33"/>
      <c r="N19" s="721" t="str">
        <f>IF(N5="","",FZ19)</f>
        <v/>
      </c>
      <c r="O19" s="26"/>
      <c r="P19" s="33"/>
      <c r="Q19" s="721" t="str">
        <f>IF(Q5="","",IP19)</f>
        <v/>
      </c>
      <c r="R19" s="26"/>
      <c r="S19" s="33"/>
      <c r="T19" s="721" t="str">
        <f>IF(T5="","",KF19)</f>
        <v/>
      </c>
      <c r="U19" s="26"/>
      <c r="V19" s="33"/>
      <c r="W19" s="729" t="str">
        <f>IF(W5="","",LW19)</f>
        <v/>
      </c>
      <c r="X19" s="26"/>
      <c r="Y19" s="33"/>
      <c r="Z19" s="731" t="str">
        <f>IF(A19="","",(F19+I19+L19+O19+R19+U19+X19))</f>
        <v/>
      </c>
      <c r="AA19" s="733" t="str">
        <f>IF(A19="","",(F20+I20+L20+O20+R20+U20+X20))</f>
        <v/>
      </c>
      <c r="AB19" s="738" t="str">
        <f>IF(A19="","",(G19+J19+M19+P19+S19+V19+Y19))</f>
        <v/>
      </c>
      <c r="AC19" s="734" t="str">
        <f>HF92</f>
        <v/>
      </c>
      <c r="AD19" s="736"/>
      <c r="AE19" s="722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3">
      <c r="A20" s="747"/>
      <c r="B20" s="749"/>
      <c r="C20" s="745"/>
      <c r="D20" s="751"/>
      <c r="E20" s="728"/>
      <c r="F20" s="29"/>
      <c r="G20" s="30"/>
      <c r="H20" s="728"/>
      <c r="I20" s="29"/>
      <c r="J20" s="30"/>
      <c r="K20" s="721"/>
      <c r="L20" s="29"/>
      <c r="M20" s="30"/>
      <c r="N20" s="721"/>
      <c r="O20" s="29"/>
      <c r="P20" s="30"/>
      <c r="Q20" s="721"/>
      <c r="R20" s="29"/>
      <c r="S20" s="30"/>
      <c r="T20" s="721"/>
      <c r="U20" s="29"/>
      <c r="V20" s="30"/>
      <c r="W20" s="729"/>
      <c r="X20" s="29"/>
      <c r="Y20" s="30"/>
      <c r="Z20" s="731"/>
      <c r="AA20" s="733"/>
      <c r="AB20" s="738"/>
      <c r="AC20" s="735"/>
      <c r="AD20" s="737"/>
      <c r="AE20" s="722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3">
      <c r="A21" s="746" t="str">
        <f>'Vážní listina'!HQ21</f>
        <v/>
      </c>
      <c r="B21" s="748" t="str">
        <f>'Vážní listina'!HR21</f>
        <v/>
      </c>
      <c r="C21" s="745" t="str">
        <f>IF(BP21="","",(IF(BP21&gt;1,$BH$2,"")))</f>
        <v/>
      </c>
      <c r="D21" s="750" t="str">
        <f>'Vážní listina'!HK21</f>
        <v/>
      </c>
      <c r="E21" s="752" t="str">
        <f>'Vážní listina'!HL21</f>
        <v/>
      </c>
      <c r="F21" s="26"/>
      <c r="G21" s="32"/>
      <c r="H21" s="721" t="str">
        <f>IF(H5="","",'Vážní listina'!HM21)</f>
        <v/>
      </c>
      <c r="I21" s="26"/>
      <c r="J21" s="32"/>
      <c r="K21" s="721" t="str">
        <f>IF(K5="","",DV21)</f>
        <v/>
      </c>
      <c r="L21" s="26"/>
      <c r="M21" s="32"/>
      <c r="N21" s="721" t="str">
        <f>IF(N5="","",FZ21)</f>
        <v/>
      </c>
      <c r="O21" s="26"/>
      <c r="P21" s="32"/>
      <c r="Q21" s="721" t="str">
        <f>IF(Q5="","",IP21)</f>
        <v/>
      </c>
      <c r="R21" s="26"/>
      <c r="S21" s="32"/>
      <c r="T21" s="721" t="str">
        <f>IF(T5="","",KF21)</f>
        <v/>
      </c>
      <c r="U21" s="26"/>
      <c r="V21" s="32"/>
      <c r="W21" s="729" t="str">
        <f>IF(W5="","",LW21)</f>
        <v/>
      </c>
      <c r="X21" s="26"/>
      <c r="Y21" s="32"/>
      <c r="Z21" s="731" t="str">
        <f>IF(A21="","",(F21+I21+L21+O21+R21+U21+X21))</f>
        <v/>
      </c>
      <c r="AA21" s="733" t="str">
        <f>IF(A21="","",(F22+I22+L22+O22+R22+U22+X22))</f>
        <v/>
      </c>
      <c r="AB21" s="738" t="str">
        <f>IF(A21="","",(G21+J21+M21+P21+S21+V21+Y21))</f>
        <v/>
      </c>
      <c r="AC21" s="734" t="str">
        <f>HF94</f>
        <v/>
      </c>
      <c r="AD21" s="722"/>
      <c r="AE21" s="722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3">
      <c r="A22" s="747"/>
      <c r="B22" s="749"/>
      <c r="C22" s="745"/>
      <c r="D22" s="751"/>
      <c r="E22" s="728"/>
      <c r="F22" s="29"/>
      <c r="G22" s="30"/>
      <c r="H22" s="721"/>
      <c r="I22" s="29"/>
      <c r="J22" s="30"/>
      <c r="K22" s="721"/>
      <c r="L22" s="29"/>
      <c r="M22" s="30"/>
      <c r="N22" s="721"/>
      <c r="O22" s="29"/>
      <c r="P22" s="30"/>
      <c r="Q22" s="721"/>
      <c r="R22" s="29"/>
      <c r="S22" s="30"/>
      <c r="T22" s="721"/>
      <c r="U22" s="29"/>
      <c r="V22" s="30"/>
      <c r="W22" s="729"/>
      <c r="X22" s="29"/>
      <c r="Y22" s="30"/>
      <c r="Z22" s="731"/>
      <c r="AA22" s="733"/>
      <c r="AB22" s="738"/>
      <c r="AC22" s="735"/>
      <c r="AD22" s="722"/>
      <c r="AE22" s="722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3">
      <c r="A23" s="746" t="str">
        <f>'Vážní listina'!HQ23</f>
        <v/>
      </c>
      <c r="B23" s="748" t="str">
        <f>'Vážní listina'!HR23</f>
        <v/>
      </c>
      <c r="C23" s="745" t="str">
        <f>IF(BP23="","",(IF(BP23&gt;1,$BH$2,"")))</f>
        <v/>
      </c>
      <c r="D23" s="750" t="str">
        <f>'Vážní listina'!HK23</f>
        <v/>
      </c>
      <c r="E23" s="752" t="str">
        <f>'Vážní listina'!HL23</f>
        <v/>
      </c>
      <c r="F23" s="26"/>
      <c r="G23" s="33"/>
      <c r="H23" s="752" t="str">
        <f>IF(H5="","",'Vážní listina'!HM23)</f>
        <v/>
      </c>
      <c r="I23" s="26"/>
      <c r="J23" s="33"/>
      <c r="K23" s="721" t="str">
        <f>IF(K5="","",DV23)</f>
        <v/>
      </c>
      <c r="L23" s="26"/>
      <c r="M23" s="33"/>
      <c r="N23" s="721" t="str">
        <f>IF(N5="","",FZ23)</f>
        <v/>
      </c>
      <c r="O23" s="26"/>
      <c r="P23" s="33"/>
      <c r="Q23" s="721" t="str">
        <f>IF(Q5="","",IP23)</f>
        <v/>
      </c>
      <c r="R23" s="26"/>
      <c r="S23" s="33"/>
      <c r="T23" s="721" t="str">
        <f>IF(T5="","",KF23)</f>
        <v/>
      </c>
      <c r="U23" s="26"/>
      <c r="V23" s="33"/>
      <c r="W23" s="729" t="str">
        <f>IF(W5="","",LW23)</f>
        <v/>
      </c>
      <c r="X23" s="26"/>
      <c r="Y23" s="33"/>
      <c r="Z23" s="731" t="str">
        <f>IF(A23="","",(F23+I23+L23+O23+R23+U23+X23))</f>
        <v/>
      </c>
      <c r="AA23" s="733" t="str">
        <f>IF(A23="","",(F24+I24+L24+O24+R24+U24+X24))</f>
        <v/>
      </c>
      <c r="AB23" s="738" t="str">
        <f>IF(A23="","",(G23+J23+M23+P23+S23+V23+Y23))</f>
        <v/>
      </c>
      <c r="AC23" s="734" t="str">
        <f>HF96</f>
        <v/>
      </c>
      <c r="AD23" s="736"/>
      <c r="AE23" s="722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3">
      <c r="A24" s="747"/>
      <c r="B24" s="749"/>
      <c r="C24" s="745"/>
      <c r="D24" s="751"/>
      <c r="E24" s="728"/>
      <c r="F24" s="29"/>
      <c r="G24" s="30"/>
      <c r="H24" s="728"/>
      <c r="I24" s="29"/>
      <c r="J24" s="30"/>
      <c r="K24" s="721"/>
      <c r="L24" s="29"/>
      <c r="M24" s="30"/>
      <c r="N24" s="721"/>
      <c r="O24" s="29"/>
      <c r="P24" s="30"/>
      <c r="Q24" s="721"/>
      <c r="R24" s="29"/>
      <c r="S24" s="30"/>
      <c r="T24" s="721"/>
      <c r="U24" s="29"/>
      <c r="V24" s="30"/>
      <c r="W24" s="729"/>
      <c r="X24" s="29"/>
      <c r="Y24" s="30"/>
      <c r="Z24" s="731"/>
      <c r="AA24" s="733"/>
      <c r="AB24" s="738"/>
      <c r="AC24" s="735"/>
      <c r="AD24" s="737"/>
      <c r="AE24" s="722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3">
      <c r="A25" s="746" t="str">
        <f>'Vážní listina'!HQ25</f>
        <v/>
      </c>
      <c r="B25" s="748" t="str">
        <f>'Vážní listina'!HR25</f>
        <v/>
      </c>
      <c r="C25" s="745" t="str">
        <f>IF(BP25="","",(IF(BP25&gt;1,$BH$2,"")))</f>
        <v/>
      </c>
      <c r="D25" s="750" t="str">
        <f>'Vážní listina'!HK25</f>
        <v/>
      </c>
      <c r="E25" s="752" t="str">
        <f>'Vážní listina'!HL25</f>
        <v/>
      </c>
      <c r="F25" s="26"/>
      <c r="G25" s="33"/>
      <c r="H25" s="721" t="str">
        <f>IF(H5="","",'Vážní listina'!HM25)</f>
        <v/>
      </c>
      <c r="I25" s="26"/>
      <c r="J25" s="33"/>
      <c r="K25" s="721" t="str">
        <f>IF(K5="","",DV25)</f>
        <v/>
      </c>
      <c r="L25" s="26"/>
      <c r="M25" s="33"/>
      <c r="N25" s="721" t="str">
        <f>IF(N5="","",FZ25)</f>
        <v/>
      </c>
      <c r="O25" s="26"/>
      <c r="P25" s="33"/>
      <c r="Q25" s="721" t="str">
        <f>IF(Q5="","",IP25)</f>
        <v/>
      </c>
      <c r="R25" s="26"/>
      <c r="S25" s="33"/>
      <c r="T25" s="721" t="str">
        <f>IF(T5="","",KF25)</f>
        <v/>
      </c>
      <c r="U25" s="26"/>
      <c r="V25" s="33"/>
      <c r="W25" s="729" t="str">
        <f>IF(W5="","",LW25)</f>
        <v/>
      </c>
      <c r="X25" s="26"/>
      <c r="Y25" s="33"/>
      <c r="Z25" s="731" t="str">
        <f>IF(A25="","",(F25+I25+L25+O25+R25+U25+X25))</f>
        <v/>
      </c>
      <c r="AA25" s="733" t="str">
        <f>IF(A25="","",(F26+I26+L26+O26+R26+U26+X26))</f>
        <v/>
      </c>
      <c r="AB25" s="738" t="str">
        <f>IF(A25="","",(G25+J25+M25+P25+S25+V25+Y25))</f>
        <v/>
      </c>
      <c r="AC25" s="734" t="str">
        <f>HF98</f>
        <v/>
      </c>
      <c r="AD25" s="722"/>
      <c r="AE25" s="722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3">
      <c r="A26" s="747"/>
      <c r="B26" s="749"/>
      <c r="C26" s="745"/>
      <c r="D26" s="751"/>
      <c r="E26" s="728"/>
      <c r="F26" s="29"/>
      <c r="G26" s="30"/>
      <c r="H26" s="721"/>
      <c r="I26" s="29"/>
      <c r="J26" s="30"/>
      <c r="K26" s="721"/>
      <c r="L26" s="29"/>
      <c r="M26" s="30"/>
      <c r="N26" s="721"/>
      <c r="O26" s="29"/>
      <c r="P26" s="30"/>
      <c r="Q26" s="721"/>
      <c r="R26" s="29"/>
      <c r="S26" s="30"/>
      <c r="T26" s="721"/>
      <c r="U26" s="29"/>
      <c r="V26" s="30"/>
      <c r="W26" s="729"/>
      <c r="X26" s="29"/>
      <c r="Y26" s="30"/>
      <c r="Z26" s="731"/>
      <c r="AA26" s="733"/>
      <c r="AB26" s="738"/>
      <c r="AC26" s="735"/>
      <c r="AD26" s="722"/>
      <c r="AE26" s="722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3">
      <c r="A27" s="746" t="str">
        <f>'Vážní listina'!HQ27</f>
        <v/>
      </c>
      <c r="B27" s="748" t="str">
        <f>'Vážní listina'!HR27</f>
        <v/>
      </c>
      <c r="C27" s="745" t="str">
        <f>IF(BP27="","",(IF(BP27&gt;1,$BH$2,"")))</f>
        <v/>
      </c>
      <c r="D27" s="750" t="str">
        <f>'Vážní listina'!HK27</f>
        <v/>
      </c>
      <c r="E27" s="752" t="str">
        <f>'Vážní listina'!HL27</f>
        <v/>
      </c>
      <c r="F27" s="26"/>
      <c r="G27" s="33"/>
      <c r="H27" s="752" t="str">
        <f>IF(H5="","",'Vážní listina'!HM27)</f>
        <v/>
      </c>
      <c r="I27" s="26"/>
      <c r="J27" s="33"/>
      <c r="K27" s="721" t="str">
        <f>IF(K5="","",DV27)</f>
        <v/>
      </c>
      <c r="L27" s="26"/>
      <c r="M27" s="33"/>
      <c r="N27" s="721" t="str">
        <f>IF(N5="","",FZ27)</f>
        <v/>
      </c>
      <c r="O27" s="26"/>
      <c r="P27" s="33"/>
      <c r="Q27" s="721" t="str">
        <f>IF(Q5="","",IP27)</f>
        <v/>
      </c>
      <c r="R27" s="26"/>
      <c r="S27" s="33"/>
      <c r="T27" s="721" t="str">
        <f>IF(T5="","",KF27)</f>
        <v/>
      </c>
      <c r="U27" s="26"/>
      <c r="V27" s="33"/>
      <c r="W27" s="729" t="str">
        <f>IF(W5="","",LW27)</f>
        <v/>
      </c>
      <c r="X27" s="26"/>
      <c r="Y27" s="33"/>
      <c r="Z27" s="731" t="str">
        <f>IF(A27="","",(F27+I27+L27+O27+R27+U27+X27))</f>
        <v/>
      </c>
      <c r="AA27" s="733" t="str">
        <f>IF(A27="","",(F28+I28+L28+O28+R28+U28+X28))</f>
        <v/>
      </c>
      <c r="AB27" s="738" t="str">
        <f>IF(A27="","",(G27+J27+M27+P27+S27+V27+Y27))</f>
        <v/>
      </c>
      <c r="AC27" s="734" t="str">
        <f>HF100</f>
        <v/>
      </c>
      <c r="AD27" s="736"/>
      <c r="AE27" s="722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3">
      <c r="A28" s="747"/>
      <c r="B28" s="749"/>
      <c r="C28" s="745"/>
      <c r="D28" s="751"/>
      <c r="E28" s="728"/>
      <c r="F28" s="29"/>
      <c r="G28" s="30"/>
      <c r="H28" s="728"/>
      <c r="I28" s="29"/>
      <c r="J28" s="30"/>
      <c r="K28" s="721"/>
      <c r="L28" s="29"/>
      <c r="M28" s="30"/>
      <c r="N28" s="721"/>
      <c r="O28" s="29"/>
      <c r="P28" s="30"/>
      <c r="Q28" s="721"/>
      <c r="R28" s="29"/>
      <c r="S28" s="30"/>
      <c r="T28" s="721"/>
      <c r="U28" s="29"/>
      <c r="V28" s="30"/>
      <c r="W28" s="729"/>
      <c r="X28" s="29"/>
      <c r="Y28" s="30"/>
      <c r="Z28" s="731"/>
      <c r="AA28" s="733"/>
      <c r="AB28" s="738"/>
      <c r="AC28" s="735"/>
      <c r="AD28" s="737"/>
      <c r="AE28" s="722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3">
      <c r="A29" s="746" t="str">
        <f>'Vážní listina'!HQ29</f>
        <v/>
      </c>
      <c r="B29" s="748" t="str">
        <f>'Vážní listina'!HR29</f>
        <v/>
      </c>
      <c r="C29" s="745" t="str">
        <f>IF(BP29="","",(IF(BP29&gt;1,$BH$2,"")))</f>
        <v/>
      </c>
      <c r="D29" s="750" t="str">
        <f>'Vážní listina'!HK29</f>
        <v/>
      </c>
      <c r="E29" s="752" t="str">
        <f>'Vážní listina'!HL29</f>
        <v/>
      </c>
      <c r="F29" s="26"/>
      <c r="G29" s="32"/>
      <c r="H29" s="721" t="str">
        <f>IF(H5="","",'Vážní listina'!HM29)</f>
        <v/>
      </c>
      <c r="I29" s="26"/>
      <c r="J29" s="32"/>
      <c r="K29" s="721" t="str">
        <f>IF(K5="","",DV29)</f>
        <v/>
      </c>
      <c r="L29" s="26"/>
      <c r="M29" s="32"/>
      <c r="N29" s="721" t="str">
        <f>IF(N5="","",FZ29)</f>
        <v/>
      </c>
      <c r="O29" s="26"/>
      <c r="P29" s="32"/>
      <c r="Q29" s="721" t="str">
        <f>IF(Q5="","",IP29)</f>
        <v/>
      </c>
      <c r="R29" s="26"/>
      <c r="S29" s="32"/>
      <c r="T29" s="721" t="str">
        <f>IF(T5="","",KF29)</f>
        <v/>
      </c>
      <c r="U29" s="26"/>
      <c r="V29" s="32"/>
      <c r="W29" s="729" t="str">
        <f>IF(W5="","",LW29)</f>
        <v/>
      </c>
      <c r="X29" s="26"/>
      <c r="Y29" s="32"/>
      <c r="Z29" s="731" t="str">
        <f>IF(A29="","",(F29+I29+L29+O29+R29+U29+X29))</f>
        <v/>
      </c>
      <c r="AA29" s="733" t="str">
        <f>IF(A29="","",(F30+I30+L30+O30+R30+U30+X30))</f>
        <v/>
      </c>
      <c r="AB29" s="738" t="str">
        <f>IF(A29="","",(G29+J29+M29+P29+S29+V29+Y29))</f>
        <v/>
      </c>
      <c r="AC29" s="734" t="str">
        <f>HF102</f>
        <v/>
      </c>
      <c r="AD29" s="722"/>
      <c r="AE29" s="722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3">
      <c r="A30" s="747"/>
      <c r="B30" s="749"/>
      <c r="C30" s="745"/>
      <c r="D30" s="751"/>
      <c r="E30" s="728"/>
      <c r="F30" s="29"/>
      <c r="G30" s="30"/>
      <c r="H30" s="721"/>
      <c r="I30" s="29"/>
      <c r="J30" s="30"/>
      <c r="K30" s="721"/>
      <c r="L30" s="29"/>
      <c r="M30" s="30"/>
      <c r="N30" s="721"/>
      <c r="O30" s="29"/>
      <c r="P30" s="30"/>
      <c r="Q30" s="721"/>
      <c r="R30" s="29"/>
      <c r="S30" s="30"/>
      <c r="T30" s="721"/>
      <c r="U30" s="29"/>
      <c r="V30" s="30"/>
      <c r="W30" s="729"/>
      <c r="X30" s="29"/>
      <c r="Y30" s="30"/>
      <c r="Z30" s="731"/>
      <c r="AA30" s="733"/>
      <c r="AB30" s="738"/>
      <c r="AC30" s="735"/>
      <c r="AD30" s="722"/>
      <c r="AE30" s="722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3">
      <c r="A31" s="746" t="str">
        <f>'Vážní listina'!HQ31</f>
        <v/>
      </c>
      <c r="B31" s="748" t="str">
        <f>'Vážní listina'!HR31</f>
        <v/>
      </c>
      <c r="C31" s="745" t="str">
        <f>IF(BP31="","",(IF(BP31&gt;1,$BH$2,"")))</f>
        <v/>
      </c>
      <c r="D31" s="750" t="str">
        <f>'Vážní listina'!HK31</f>
        <v/>
      </c>
      <c r="E31" s="752" t="str">
        <f>'Vážní listina'!HL31</f>
        <v/>
      </c>
      <c r="F31" s="26"/>
      <c r="G31" s="33"/>
      <c r="H31" s="752" t="str">
        <f>IF(H5="","",'Vážní listina'!HM31)</f>
        <v/>
      </c>
      <c r="I31" s="26"/>
      <c r="J31" s="33"/>
      <c r="K31" s="721" t="str">
        <f>IF(K5="","",DV31)</f>
        <v/>
      </c>
      <c r="L31" s="26"/>
      <c r="M31" s="33"/>
      <c r="N31" s="721" t="str">
        <f>IF(N5="","",FZ31)</f>
        <v/>
      </c>
      <c r="O31" s="26"/>
      <c r="P31" s="33"/>
      <c r="Q31" s="721" t="str">
        <f>IF(Q5="","",IP31)</f>
        <v/>
      </c>
      <c r="R31" s="26"/>
      <c r="S31" s="33"/>
      <c r="T31" s="721" t="str">
        <f>IF(T5="","",KF31)</f>
        <v/>
      </c>
      <c r="U31" s="26"/>
      <c r="V31" s="33"/>
      <c r="W31" s="729" t="str">
        <f>IF(W5="","",LW31)</f>
        <v/>
      </c>
      <c r="X31" s="26"/>
      <c r="Y31" s="33"/>
      <c r="Z31" s="731" t="str">
        <f>IF(A31="","",(F31+I31+L31+O31+R31+U31+X31))</f>
        <v/>
      </c>
      <c r="AA31" s="733" t="str">
        <f>IF(A31="","",(F32+I32+L32+O32+R32+U32+X32))</f>
        <v/>
      </c>
      <c r="AB31" s="738" t="str">
        <f>IF(A31="","",(G31+J31+M31+P31+S31+V31+Y31))</f>
        <v/>
      </c>
      <c r="AC31" s="734" t="str">
        <f>HF104</f>
        <v/>
      </c>
      <c r="AD31" s="736"/>
      <c r="AE31" s="722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3">
      <c r="A32" s="747"/>
      <c r="B32" s="749"/>
      <c r="C32" s="745"/>
      <c r="D32" s="751"/>
      <c r="E32" s="728"/>
      <c r="F32" s="29"/>
      <c r="G32" s="30"/>
      <c r="H32" s="728"/>
      <c r="I32" s="29"/>
      <c r="J32" s="30"/>
      <c r="K32" s="721"/>
      <c r="L32" s="29"/>
      <c r="M32" s="30"/>
      <c r="N32" s="721"/>
      <c r="O32" s="29"/>
      <c r="P32" s="30"/>
      <c r="Q32" s="721"/>
      <c r="R32" s="29"/>
      <c r="S32" s="30"/>
      <c r="T32" s="721"/>
      <c r="U32" s="29"/>
      <c r="V32" s="30"/>
      <c r="W32" s="729"/>
      <c r="X32" s="29"/>
      <c r="Y32" s="30"/>
      <c r="Z32" s="731"/>
      <c r="AA32" s="733"/>
      <c r="AB32" s="738"/>
      <c r="AC32" s="735"/>
      <c r="AD32" s="737"/>
      <c r="AE32" s="722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3">
      <c r="A33" s="746" t="str">
        <f>'Vážní listina'!HQ33</f>
        <v/>
      </c>
      <c r="B33" s="748" t="str">
        <f>'Vážní listina'!HR33</f>
        <v/>
      </c>
      <c r="C33" s="745" t="str">
        <f>IF(BP33="","",(IF(BP33&gt;1,$BH$2,"")))</f>
        <v/>
      </c>
      <c r="D33" s="750" t="str">
        <f>'Vážní listina'!HK33</f>
        <v/>
      </c>
      <c r="E33" s="752" t="str">
        <f>'Vážní listina'!HL33</f>
        <v/>
      </c>
      <c r="F33" s="26"/>
      <c r="G33" s="33"/>
      <c r="H33" s="721" t="str">
        <f>IF(H5="","",'Vážní listina'!HM33)</f>
        <v/>
      </c>
      <c r="I33" s="26"/>
      <c r="J33" s="33"/>
      <c r="K33" s="721" t="str">
        <f>IF(K5="","",DV33)</f>
        <v/>
      </c>
      <c r="L33" s="26"/>
      <c r="M33" s="33"/>
      <c r="N33" s="721" t="str">
        <f>IF(N5="","",FZ33)</f>
        <v/>
      </c>
      <c r="O33" s="26"/>
      <c r="P33" s="33"/>
      <c r="Q33" s="721" t="str">
        <f>IF(Q5="","",IP33)</f>
        <v/>
      </c>
      <c r="R33" s="26"/>
      <c r="S33" s="33"/>
      <c r="T33" s="721" t="str">
        <f>IF(T5="","",KF33)</f>
        <v/>
      </c>
      <c r="U33" s="26"/>
      <c r="V33" s="33"/>
      <c r="W33" s="729" t="str">
        <f>IF(W5="","",LW33)</f>
        <v/>
      </c>
      <c r="X33" s="26"/>
      <c r="Y33" s="33"/>
      <c r="Z33" s="731" t="str">
        <f>IF(A33="","",(F33+I33+L33+O33+R33+U33+X33))</f>
        <v/>
      </c>
      <c r="AA33" s="733" t="str">
        <f>IF(A33="","",(F34+I34+L34+O34+R34+U34+X34))</f>
        <v/>
      </c>
      <c r="AB33" s="738" t="str">
        <f>IF(A33="","",(G33+J33+M33+P33+S33+V33+Y33))</f>
        <v/>
      </c>
      <c r="AC33" s="734" t="str">
        <f>HF106</f>
        <v/>
      </c>
      <c r="AD33" s="722"/>
      <c r="AE33" s="722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3">
      <c r="A34" s="747"/>
      <c r="B34" s="749"/>
      <c r="C34" s="745"/>
      <c r="D34" s="751"/>
      <c r="E34" s="728"/>
      <c r="F34" s="29"/>
      <c r="G34" s="30"/>
      <c r="H34" s="721"/>
      <c r="I34" s="29"/>
      <c r="J34" s="30"/>
      <c r="K34" s="721"/>
      <c r="L34" s="29"/>
      <c r="M34" s="30"/>
      <c r="N34" s="721"/>
      <c r="O34" s="29"/>
      <c r="P34" s="30"/>
      <c r="Q34" s="721"/>
      <c r="R34" s="29"/>
      <c r="S34" s="30"/>
      <c r="T34" s="721"/>
      <c r="U34" s="29"/>
      <c r="V34" s="30"/>
      <c r="W34" s="729"/>
      <c r="X34" s="29"/>
      <c r="Y34" s="30"/>
      <c r="Z34" s="731"/>
      <c r="AA34" s="733"/>
      <c r="AB34" s="738"/>
      <c r="AC34" s="735"/>
      <c r="AD34" s="722"/>
      <c r="AE34" s="722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3">
      <c r="A35" s="746" t="str">
        <f>'Vážní listina'!HQ35</f>
        <v/>
      </c>
      <c r="B35" s="748" t="str">
        <f>'Vážní listina'!HR35</f>
        <v/>
      </c>
      <c r="C35" s="745" t="str">
        <f>IF(BP35="","",(IF(BP35&gt;1,$BH$2,"")))</f>
        <v/>
      </c>
      <c r="D35" s="750" t="str">
        <f>'Vážní listina'!HK35</f>
        <v/>
      </c>
      <c r="E35" s="752" t="str">
        <f>'Vážní listina'!HL35</f>
        <v/>
      </c>
      <c r="F35" s="26"/>
      <c r="G35" s="33"/>
      <c r="H35" s="752" t="str">
        <f>IF(H5="","",'Vážní listina'!HM35)</f>
        <v/>
      </c>
      <c r="I35" s="26"/>
      <c r="J35" s="33"/>
      <c r="K35" s="721" t="str">
        <f>IF(K5="","",DV35)</f>
        <v/>
      </c>
      <c r="L35" s="26"/>
      <c r="M35" s="33"/>
      <c r="N35" s="721" t="str">
        <f>IF(N5="","",FZ35)</f>
        <v/>
      </c>
      <c r="O35" s="26"/>
      <c r="P35" s="33"/>
      <c r="Q35" s="721" t="str">
        <f>IF(Q5="","",IP35)</f>
        <v/>
      </c>
      <c r="R35" s="26"/>
      <c r="S35" s="33"/>
      <c r="T35" s="721" t="str">
        <f>IF(T5="","",KF35)</f>
        <v/>
      </c>
      <c r="U35" s="26"/>
      <c r="V35" s="33"/>
      <c r="W35" s="729" t="str">
        <f>IF(W5="","",LW35)</f>
        <v/>
      </c>
      <c r="X35" s="26"/>
      <c r="Y35" s="33"/>
      <c r="Z35" s="731" t="str">
        <f>IF(A35="","",(F35+I35+L35+O35+R35+U35+X35))</f>
        <v/>
      </c>
      <c r="AA35" s="733" t="str">
        <f>IF(A35="","",(F36+I36+L36+O36+R36+U36+X36))</f>
        <v/>
      </c>
      <c r="AB35" s="738" t="str">
        <f>IF(A35="","",(G35+J35+M35+P35+S35+V35+Y35))</f>
        <v/>
      </c>
      <c r="AC35" s="734" t="str">
        <f>HF108</f>
        <v/>
      </c>
      <c r="AD35" s="736"/>
      <c r="AE35" s="722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3</v>
      </c>
      <c r="CK35" s="563">
        <f>SUM(CI40:CI55)</f>
        <v>3</v>
      </c>
      <c r="CV35" s="216">
        <f>SUM(CV40:CV55)</f>
        <v>2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3">
      <c r="A36" s="747"/>
      <c r="B36" s="749"/>
      <c r="C36" s="745"/>
      <c r="D36" s="751"/>
      <c r="E36" s="728"/>
      <c r="F36" s="29"/>
      <c r="G36" s="30"/>
      <c r="H36" s="728"/>
      <c r="I36" s="29"/>
      <c r="J36" s="30"/>
      <c r="K36" s="721"/>
      <c r="L36" s="29"/>
      <c r="M36" s="30"/>
      <c r="N36" s="721"/>
      <c r="O36" s="29"/>
      <c r="P36" s="30"/>
      <c r="Q36" s="721"/>
      <c r="R36" s="29"/>
      <c r="S36" s="30"/>
      <c r="T36" s="721"/>
      <c r="U36" s="29"/>
      <c r="V36" s="30"/>
      <c r="W36" s="729"/>
      <c r="X36" s="29"/>
      <c r="Y36" s="30"/>
      <c r="Z36" s="731"/>
      <c r="AA36" s="733"/>
      <c r="AB36" s="738"/>
      <c r="AC36" s="735"/>
      <c r="AD36" s="737"/>
      <c r="AE36" s="722"/>
      <c r="AG36" s="88"/>
      <c r="AH36" s="754" t="str">
        <f>AH3</f>
        <v>P á r o v á n í    z á p a s n í k ů</v>
      </c>
      <c r="AI36" s="754"/>
      <c r="AJ36" s="754"/>
      <c r="AK36" s="754"/>
      <c r="AL36" s="754"/>
      <c r="AM36" s="754"/>
      <c r="AN36" s="754"/>
      <c r="AO36" s="754"/>
      <c r="AP36" s="754"/>
      <c r="AQ36" s="754"/>
      <c r="AR36" s="754"/>
      <c r="AS36" s="754"/>
      <c r="AT36" s="754"/>
      <c r="AU36" s="754"/>
      <c r="AV36" s="754"/>
      <c r="AW36" s="754"/>
      <c r="AX36" s="754"/>
      <c r="AY36" s="754"/>
      <c r="AZ36" s="754"/>
      <c r="BA36" s="754"/>
      <c r="BB36" s="754"/>
      <c r="BC36" s="754"/>
      <c r="BD36" s="754"/>
      <c r="BE36" s="754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78" t="str">
        <f>E39</f>
        <v>1. kolo</v>
      </c>
      <c r="CE36" s="678"/>
      <c r="CF36" s="678"/>
      <c r="CG36" s="678"/>
      <c r="CH36" s="678"/>
      <c r="CI36" s="678">
        <f>CB3</f>
        <v>0</v>
      </c>
      <c r="CJ36" s="678"/>
      <c r="CK36" s="678"/>
      <c r="CL36" s="678"/>
      <c r="CM36" s="678"/>
      <c r="CV36" s="216">
        <f>CV35-(FLOOR(CV35/2,1))*2</f>
        <v>0</v>
      </c>
      <c r="DF36" s="216">
        <f>CO6</f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790" t="str">
        <f>GB3</f>
        <v>Tabulka kvalifikace</v>
      </c>
      <c r="GC36" s="790"/>
      <c r="GD36" s="790"/>
      <c r="GE36" s="790"/>
      <c r="GF36" s="790"/>
      <c r="GG36" s="790"/>
      <c r="GH36" s="790"/>
      <c r="GI36" s="790"/>
      <c r="GJ36" s="790"/>
      <c r="GK36" s="790"/>
      <c r="GL36" s="790"/>
      <c r="GM36" s="790"/>
      <c r="GN36" s="790"/>
      <c r="GO36" s="790"/>
      <c r="GP36" s="790"/>
      <c r="GQ36" s="790"/>
      <c r="GR36" s="790"/>
      <c r="GS36" s="790"/>
      <c r="GT36" s="790"/>
      <c r="GU36" s="790"/>
      <c r="GV36" s="790"/>
      <c r="GW36" s="790"/>
      <c r="GX36" s="790"/>
      <c r="GY36" s="790"/>
      <c r="GZ36" s="790"/>
      <c r="HA36" s="221"/>
      <c r="HB36" s="278"/>
      <c r="HE36" s="293" t="str">
        <f>G3</f>
        <v>Počet zápasníků</v>
      </c>
      <c r="HI36" s="274">
        <f>DF36</f>
        <v>4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4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3">
      <c r="A37" s="746" t="str">
        <f>'Vážní listina'!HQ37</f>
        <v/>
      </c>
      <c r="B37" s="748" t="str">
        <f>'Vážní listina'!HR37</f>
        <v/>
      </c>
      <c r="C37" s="745" t="str">
        <f>IF(BP37="","",(IF(BP37&gt;1,$BH$2,"")))</f>
        <v/>
      </c>
      <c r="D37" s="750" t="str">
        <f>'Vážní listina'!HK37</f>
        <v/>
      </c>
      <c r="E37" s="752" t="str">
        <f>'Vážní listina'!HL37</f>
        <v/>
      </c>
      <c r="F37" s="31"/>
      <c r="G37" s="32"/>
      <c r="H37" s="752" t="str">
        <f>IF(H5="","",'Vážní listina'!HM37)</f>
        <v/>
      </c>
      <c r="I37" s="31"/>
      <c r="J37" s="32"/>
      <c r="K37" s="752" t="str">
        <f>IF(K5="","",DV37)</f>
        <v/>
      </c>
      <c r="L37" s="31"/>
      <c r="M37" s="32"/>
      <c r="N37" s="721" t="str">
        <f>IF(N5="","",FZ37)</f>
        <v/>
      </c>
      <c r="O37" s="31"/>
      <c r="P37" s="32"/>
      <c r="Q37" s="752" t="str">
        <f>IF(Q5="","",IP37)</f>
        <v/>
      </c>
      <c r="R37" s="31"/>
      <c r="S37" s="32"/>
      <c r="T37" s="752" t="str">
        <f>IF(T5="","",KF37)</f>
        <v/>
      </c>
      <c r="U37" s="31"/>
      <c r="V37" s="32"/>
      <c r="W37" s="729" t="str">
        <f>IF(W5="","",LW37)</f>
        <v/>
      </c>
      <c r="X37" s="31"/>
      <c r="Y37" s="32"/>
      <c r="Z37" s="731" t="str">
        <f>IF(A37="","",(F37+I37+L37+O37+R37+U37+X37))</f>
        <v/>
      </c>
      <c r="AA37" s="733" t="str">
        <f>IF(A37="","",(F38+I38+L38+O38+R38+U38+X38))</f>
        <v/>
      </c>
      <c r="AB37" s="738" t="str">
        <f>IF(A37="","",(G37+J37+M37+P37+S37+V37+Y37))</f>
        <v/>
      </c>
      <c r="AC37" s="734" t="str">
        <f>HF110</f>
        <v/>
      </c>
      <c r="AD37" s="736"/>
      <c r="AE37" s="722" t="str">
        <f>IF(D37="","",(IF('Tabulka finále'!$BK$47=1,(IF('Tabulka finále'!$K$56="","",(IF($AC$5="","",(IF($H$5="","",(FW148))))))),"")))</f>
        <v/>
      </c>
      <c r="AG37" s="88"/>
      <c r="AH37" s="754"/>
      <c r="AI37" s="754"/>
      <c r="AJ37" s="754"/>
      <c r="AK37" s="754"/>
      <c r="AL37" s="754"/>
      <c r="AM37" s="754"/>
      <c r="AN37" s="754"/>
      <c r="AO37" s="754"/>
      <c r="AP37" s="754"/>
      <c r="AQ37" s="754"/>
      <c r="AR37" s="754"/>
      <c r="AS37" s="754"/>
      <c r="AT37" s="754"/>
      <c r="AU37" s="754"/>
      <c r="AV37" s="754"/>
      <c r="AW37" s="754"/>
      <c r="AX37" s="754"/>
      <c r="AY37" s="754"/>
      <c r="AZ37" s="754"/>
      <c r="BA37" s="754"/>
      <c r="BB37" s="754"/>
      <c r="BC37" s="754"/>
      <c r="BD37" s="754"/>
      <c r="BE37" s="754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42" t="str">
        <f>CO4</f>
        <v>3. kolo</v>
      </c>
      <c r="CP37" s="742"/>
      <c r="CQ37" s="742"/>
      <c r="CR37" s="742"/>
      <c r="CS37" s="742"/>
      <c r="CT37" s="742"/>
      <c r="CU37" s="742"/>
      <c r="CV37" s="742"/>
      <c r="CW37" s="742"/>
      <c r="CX37" s="743"/>
      <c r="DM37" s="211"/>
      <c r="DV37" s="216" t="str">
        <f>DT22</f>
        <v/>
      </c>
      <c r="DX37" s="220"/>
      <c r="EB37" s="251"/>
      <c r="ED37" s="271"/>
      <c r="EE37" s="678" t="str">
        <f>EE4</f>
        <v>4. kolo</v>
      </c>
      <c r="EF37" s="678"/>
      <c r="EG37" s="678"/>
      <c r="EH37" s="678"/>
      <c r="EI37" s="678"/>
      <c r="EJ37" s="678"/>
      <c r="EK37" s="678"/>
      <c r="EL37" s="678"/>
      <c r="EM37" s="678"/>
      <c r="EN37" s="678"/>
      <c r="EO37" s="678"/>
      <c r="EP37" s="678"/>
      <c r="EQ37" s="678"/>
      <c r="ER37" s="678"/>
      <c r="ES37" s="678"/>
      <c r="ET37" s="678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1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3">
      <c r="A38" s="747"/>
      <c r="B38" s="749"/>
      <c r="C38" s="769"/>
      <c r="D38" s="751"/>
      <c r="E38" s="763"/>
      <c r="F38" s="34"/>
      <c r="G38" s="35"/>
      <c r="H38" s="763"/>
      <c r="I38" s="34"/>
      <c r="J38" s="35"/>
      <c r="K38" s="763"/>
      <c r="L38" s="34"/>
      <c r="M38" s="35"/>
      <c r="N38" s="721"/>
      <c r="O38" s="34"/>
      <c r="P38" s="35"/>
      <c r="Q38" s="763"/>
      <c r="R38" s="34"/>
      <c r="S38" s="35"/>
      <c r="T38" s="763"/>
      <c r="U38" s="34"/>
      <c r="V38" s="35"/>
      <c r="W38" s="764"/>
      <c r="X38" s="34"/>
      <c r="Y38" s="35"/>
      <c r="Z38" s="731"/>
      <c r="AA38" s="733"/>
      <c r="AB38" s="738"/>
      <c r="AC38" s="759"/>
      <c r="AD38" s="759"/>
      <c r="AE38" s="722"/>
      <c r="AG38" s="88"/>
      <c r="AH38" s="710" t="str">
        <f>AH5</f>
        <v>3. kolo</v>
      </c>
      <c r="AI38" s="711"/>
      <c r="AJ38" s="711"/>
      <c r="AK38" s="712"/>
      <c r="AM38" s="710" t="str">
        <f>[1]List1!$A$15</f>
        <v>4. kolo</v>
      </c>
      <c r="AN38" s="711"/>
      <c r="AO38" s="711"/>
      <c r="AP38" s="712"/>
      <c r="AR38" s="710" t="str">
        <f>AR5</f>
        <v>5. kolo</v>
      </c>
      <c r="AS38" s="711"/>
      <c r="AT38" s="711"/>
      <c r="AU38" s="712"/>
      <c r="AW38" s="710" t="str">
        <f>[1]List1!$B$16</f>
        <v>6. kolo</v>
      </c>
      <c r="AX38" s="711"/>
      <c r="AY38" s="711"/>
      <c r="AZ38" s="712"/>
      <c r="BB38" s="710" t="str">
        <f>[1]List1!$B$15</f>
        <v>7. kolo</v>
      </c>
      <c r="BC38" s="711"/>
      <c r="BD38" s="711"/>
      <c r="BE38" s="712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797" t="str">
        <f>CQ5</f>
        <v>počet závodníků</v>
      </c>
      <c r="CR38" s="797"/>
      <c r="CS38" s="797"/>
      <c r="CT38" s="797"/>
      <c r="CU38" s="797"/>
      <c r="CV38" s="235">
        <f>CF35</f>
        <v>3</v>
      </c>
      <c r="CW38" s="235"/>
      <c r="CX38" s="211"/>
      <c r="DF38" s="216" t="str">
        <f>DF5</f>
        <v>index</v>
      </c>
      <c r="DM38" s="211"/>
      <c r="DX38" s="793" t="s">
        <v>20</v>
      </c>
      <c r="DY38" s="742"/>
      <c r="DZ38" s="742"/>
      <c r="EA38" s="742"/>
      <c r="EB38" s="794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42" t="str">
        <f>[1]List1!$A$16</f>
        <v>5. kolo</v>
      </c>
      <c r="HE38" s="742"/>
      <c r="HF38" s="742"/>
      <c r="HG38" s="742"/>
      <c r="HH38" s="742"/>
      <c r="HI38" s="742"/>
      <c r="HJ38" s="742"/>
      <c r="HK38" s="742"/>
      <c r="HL38" s="742"/>
      <c r="HM38" s="742"/>
      <c r="HN38" s="742"/>
      <c r="HO38" s="742"/>
      <c r="HP38" s="742"/>
      <c r="HQ38" s="742"/>
      <c r="HR38" s="742"/>
      <c r="HS38" s="742"/>
      <c r="HT38" s="295">
        <f>SUM(HT40:HT57)</f>
        <v>2</v>
      </c>
      <c r="HU38" s="284"/>
      <c r="HV38" s="741" t="str">
        <f>HV5</f>
        <v>chyba</v>
      </c>
      <c r="HW38" s="742"/>
      <c r="HX38" s="742"/>
      <c r="HY38" s="742"/>
      <c r="HZ38" s="742"/>
      <c r="IA38" s="742"/>
      <c r="IB38" s="742"/>
      <c r="IC38" s="742"/>
      <c r="ID38" s="742"/>
      <c r="IE38" s="742"/>
      <c r="IF38" s="742"/>
      <c r="IG38" s="742"/>
      <c r="IH38" s="743"/>
      <c r="II38" s="741" t="str">
        <f>II5</f>
        <v>do tabulky</v>
      </c>
      <c r="IJ38" s="742"/>
      <c r="IK38" s="742"/>
      <c r="IL38" s="742"/>
      <c r="IM38" s="742"/>
      <c r="IN38" s="742"/>
      <c r="IO38" s="742"/>
      <c r="IP38" s="789"/>
      <c r="IQ38" s="285"/>
      <c r="IR38" s="678" t="str">
        <f>[1]List1!$B$16</f>
        <v>6. kolo</v>
      </c>
      <c r="IS38" s="678"/>
      <c r="IT38" s="678"/>
      <c r="IU38" s="678"/>
      <c r="IV38" s="678"/>
      <c r="IW38" s="678"/>
      <c r="IX38" s="678"/>
      <c r="IY38" s="678"/>
      <c r="IZ38" s="678"/>
      <c r="JA38" s="678"/>
      <c r="JB38" s="678"/>
      <c r="JC38" s="678"/>
      <c r="JD38" s="678"/>
      <c r="JE38" s="678"/>
      <c r="JF38" s="678"/>
      <c r="JG38" s="678"/>
      <c r="JH38" s="678"/>
      <c r="JI38" s="305">
        <f>SUM(JI40:JI57)</f>
        <v>2</v>
      </c>
      <c r="JJ38" s="297"/>
      <c r="JK38" s="741" t="str">
        <f>JK5</f>
        <v>chyba</v>
      </c>
      <c r="JL38" s="678"/>
      <c r="JM38" s="678"/>
      <c r="JN38" s="678"/>
      <c r="JO38" s="678"/>
      <c r="JP38" s="678"/>
      <c r="JQ38" s="678"/>
      <c r="JR38" s="678"/>
      <c r="JS38" s="678"/>
      <c r="JT38" s="678"/>
      <c r="JU38" s="678"/>
      <c r="JV38" s="678"/>
      <c r="JW38" s="678"/>
      <c r="JX38" s="743"/>
      <c r="JY38" s="741" t="str">
        <f>JY5</f>
        <v>do tabulky</v>
      </c>
      <c r="JZ38" s="742"/>
      <c r="KA38" s="742"/>
      <c r="KB38" s="742"/>
      <c r="KC38" s="742"/>
      <c r="KD38" s="742"/>
      <c r="KE38" s="742"/>
      <c r="KF38" s="789"/>
      <c r="KG38" s="285"/>
      <c r="KH38" s="344"/>
      <c r="KI38" s="679" t="str">
        <f>KI5</f>
        <v>7. kolo</v>
      </c>
      <c r="KJ38" s="679"/>
      <c r="KK38" s="679"/>
      <c r="KL38" s="679"/>
      <c r="KM38" s="679"/>
      <c r="KN38" s="679"/>
      <c r="KO38" s="679"/>
      <c r="KP38" s="679"/>
      <c r="KQ38" s="679"/>
      <c r="KR38" s="679"/>
      <c r="KS38" s="679"/>
      <c r="KT38" s="679"/>
      <c r="KU38" s="679"/>
      <c r="KV38" s="679"/>
      <c r="KW38" s="679"/>
      <c r="KX38" s="679"/>
      <c r="KZ38" s="327">
        <f>SUM(KZ40:KZ57)</f>
        <v>2</v>
      </c>
      <c r="LA38" s="326"/>
      <c r="LB38" s="741" t="str">
        <f>LB5</f>
        <v>chyba</v>
      </c>
      <c r="LC38" s="742"/>
      <c r="LD38" s="742"/>
      <c r="LE38" s="742"/>
      <c r="LF38" s="742"/>
      <c r="LG38" s="742"/>
      <c r="LH38" s="742"/>
      <c r="LI38" s="742"/>
      <c r="LJ38" s="742"/>
      <c r="LK38" s="742"/>
      <c r="LL38" s="742"/>
      <c r="LM38" s="742"/>
      <c r="LN38" s="742"/>
      <c r="LO38" s="743"/>
      <c r="LP38" s="741" t="str">
        <f>LP5</f>
        <v>do tabulky</v>
      </c>
      <c r="LQ38" s="742"/>
      <c r="LR38" s="742"/>
      <c r="LS38" s="742"/>
      <c r="LT38" s="742"/>
      <c r="LU38" s="742"/>
      <c r="LV38" s="742"/>
      <c r="LW38" s="789"/>
      <c r="LX38" s="332"/>
    </row>
    <row r="39" spans="1:336" ht="24.9" customHeight="1" thickTop="1" thickBot="1" x14ac:dyDescent="0.3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24" t="str">
        <f>CONCATENATE([1]List1!$A$12)</f>
        <v>1. kolo</v>
      </c>
      <c r="F39" s="725"/>
      <c r="G39" s="726"/>
      <c r="H39" s="724" t="str">
        <f>CONCATENATE([1]List1!$A$13)</f>
        <v>2. kolo</v>
      </c>
      <c r="I39" s="725"/>
      <c r="J39" s="726"/>
      <c r="K39" s="724" t="str">
        <f>CONCATENATE([1]List1!$A$14)</f>
        <v>3. kolo</v>
      </c>
      <c r="L39" s="725"/>
      <c r="M39" s="726"/>
      <c r="N39" s="724" t="str">
        <f>CONCATENATE([1]List1!$A$15)</f>
        <v>4. kolo</v>
      </c>
      <c r="O39" s="725"/>
      <c r="P39" s="726"/>
      <c r="Q39" s="724" t="str">
        <f>CONCATENATE([1]List1!$A$16)</f>
        <v>5. kolo</v>
      </c>
      <c r="R39" s="725"/>
      <c r="S39" s="726"/>
      <c r="T39" s="724" t="str">
        <f>CONCATENATE([1]List1!$B$16)</f>
        <v>6. kolo</v>
      </c>
      <c r="U39" s="725"/>
      <c r="V39" s="726"/>
      <c r="W39" s="724" t="str">
        <f>CONCATENATE([1]List1!$B$15)</f>
        <v>7. kolo</v>
      </c>
      <c r="X39" s="725"/>
      <c r="Y39" s="726"/>
      <c r="Z39" s="755" t="str">
        <f>CONCATENATE([1]List1!$A$17)</f>
        <v>výsledky              B   T   O</v>
      </c>
      <c r="AA39" s="756"/>
      <c r="AB39" s="757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4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0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0</v>
      </c>
      <c r="EF39" s="267">
        <f>SUM(EF40:EF55)</f>
        <v>2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1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3">
      <c r="A40" s="777" t="str">
        <f>'Vážní listina'!HQ39</f>
        <v>Katrinec Vratko</v>
      </c>
      <c r="B40" s="776" t="str">
        <f>'Vážní listina'!HR39</f>
        <v>Trenčín</v>
      </c>
      <c r="C40" s="775" t="str">
        <f>IF(BP40="","",(IF(BP40&gt;1,$BH$2,"")))</f>
        <v>xxx</v>
      </c>
      <c r="D40" s="773">
        <f>'Vážní listina'!HK39</f>
        <v>5</v>
      </c>
      <c r="E40" s="774">
        <f>'Vážní listina'!HL39</f>
        <v>6</v>
      </c>
      <c r="F40" s="24">
        <v>0</v>
      </c>
      <c r="G40" s="25"/>
      <c r="H40" s="727">
        <f>IF(H5="","",'Vážní listina'!HM39)</f>
        <v>7</v>
      </c>
      <c r="I40" s="24">
        <v>0</v>
      </c>
      <c r="J40" s="25"/>
      <c r="K40" s="727" t="str">
        <f>IF(K5="","",DV40)</f>
        <v/>
      </c>
      <c r="L40" s="24"/>
      <c r="M40" s="25"/>
      <c r="N40" s="727" t="str">
        <f>IF(N5="","",FZ40)</f>
        <v/>
      </c>
      <c r="O40" s="24"/>
      <c r="P40" s="25"/>
      <c r="Q40" s="727" t="str">
        <f>IF(Q5="","",IP40)</f>
        <v/>
      </c>
      <c r="R40" s="24"/>
      <c r="S40" s="25"/>
      <c r="T40" s="727" t="str">
        <f>IF(T5="","",KF40)</f>
        <v/>
      </c>
      <c r="U40" s="24"/>
      <c r="V40" s="25"/>
      <c r="W40" s="784" t="str">
        <f>IF(W5="","",LW40)</f>
        <v/>
      </c>
      <c r="X40" s="24"/>
      <c r="Y40" s="25"/>
      <c r="Z40" s="730">
        <f>IF(A40="","",(F40+I40+L40+O40+R40+U40+X40))</f>
        <v>0</v>
      </c>
      <c r="AA40" s="732">
        <f>IF(A40="","",(F41+I41+L41+O41+R41+U41+X41))</f>
        <v>0</v>
      </c>
      <c r="AB40" s="758">
        <f>IF(A40="","",(G40+J40+M40+P40+S40+V40+Y40))</f>
        <v>0</v>
      </c>
      <c r="AC40" s="739" t="str">
        <f>HF112</f>
        <v>F</v>
      </c>
      <c r="AD40" s="760"/>
      <c r="AE40" s="723">
        <f>IF(D40="","",(IF('Tabulka finále'!$BK$47=1,(IF('Tabulka finále'!$K$56="","",(IF($AC$5="","",(IF($H$5="","",(FW150))))))),"")))</f>
        <v>7</v>
      </c>
      <c r="AG40" s="503">
        <v>1</v>
      </c>
      <c r="AH40" s="186">
        <f>IF($K$5="","",(IF($H$5="x",CU40,"")))</f>
        <v>6</v>
      </c>
      <c r="AI40" s="254">
        <v>7</v>
      </c>
      <c r="AJ40" s="245">
        <f t="shared" ref="AJ40:AJ47" si="188">IF($K$5="","",(IF(EB40="",(IF(AH40="","",(IF(CX40=$BQ$2,$BQ$2,IF((AI40)="","",AI40))))),EB40)))</f>
        <v>7</v>
      </c>
      <c r="AK40" s="211" t="str">
        <f>IF($K$5="","",(DM40))</f>
        <v/>
      </c>
      <c r="AM40" s="617">
        <f>IF(AI40="","",(IF($N$5="x",EQ40,"")))</f>
        <v>6</v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1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2</v>
      </c>
      <c r="BR40" s="234">
        <f>BP40</f>
        <v>2</v>
      </c>
      <c r="BS40" s="234">
        <f>D40</f>
        <v>5</v>
      </c>
      <c r="BT40" s="573" t="str">
        <f>IF(SUM(BH40,BI40)=2,$BH$2,"")</f>
        <v>xxx</v>
      </c>
      <c r="BV40" s="216">
        <f t="shared" ref="BV40:BV72" si="191">IF(BH40="",$BK$2,(IF(C40=$BH$2,$BK$2,D40)))</f>
        <v>999</v>
      </c>
      <c r="BW40" s="231">
        <f t="shared" ref="BW40:BW71" si="192">IF(BH40="",$BK$2,(IF(C40=$BH$2,$BK$2,BP40)))</f>
        <v>999</v>
      </c>
      <c r="BX40" s="216">
        <v>1</v>
      </c>
      <c r="BY40" s="216">
        <f>SMALL($BV$40:$BV$71,BX40)</f>
        <v>6</v>
      </c>
      <c r="CB40" s="144">
        <v>1</v>
      </c>
      <c r="CC40" s="235">
        <f>IF((D40)="",0,D40)</f>
        <v>5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7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7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6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6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6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6</v>
      </c>
      <c r="CU40" s="235">
        <f>IF(CT40=$BK$2,"",CT40)</f>
        <v>6</v>
      </c>
      <c r="CV40" s="235">
        <f>IF(CU40="",0,1)</f>
        <v>1</v>
      </c>
      <c r="CW40" s="235">
        <f>IF(CV40=CV41,0,1)*$CV$39</f>
        <v>0</v>
      </c>
      <c r="CX40" s="211">
        <f>IF(CW40=0,CU40,$BQ$2)</f>
        <v>6</v>
      </c>
      <c r="DA40" s="234">
        <f>D40</f>
        <v>5</v>
      </c>
      <c r="DB40" s="234">
        <f>E40</f>
        <v>6</v>
      </c>
      <c r="DC40" s="234">
        <f>H40</f>
        <v>7</v>
      </c>
      <c r="DD40" s="234" t="str">
        <f>IF((C40)="","",C40)</f>
        <v>xxx</v>
      </c>
      <c r="DE40" s="234"/>
      <c r="DF40" s="234">
        <f>IF((ISNUMBER(AH40)),(INDEX($DA$40:$DA$55,AH40-$DF$36)),"")</f>
        <v>6</v>
      </c>
      <c r="DG40" s="234">
        <f>IF((ISNUMBER(AH40)),(INDEX($DB$40:$DB$55,AH40-$DF$36)),"")</f>
        <v>5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5</v>
      </c>
      <c r="DO40" s="234">
        <f>AH40</f>
        <v>6</v>
      </c>
      <c r="DP40" s="234">
        <f>AJ40</f>
        <v>7</v>
      </c>
      <c r="DR40" s="234" t="str">
        <f>IF(DN40=$DO$40,$DP$40,IF(DN40=$DO$41,$DP$41,IF(DN40=$DO$42,$DP$42,IF(DN40=$DO$43,$DP$43,IF(DN40=$DO$44,$DP$44,IF(DN40=$DO$45,$DP$45,IF(DN40=$DO$46,$DP$46,IF(DN40=$DO$47,$DP$47,""))))))))</f>
        <v/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/>
      </c>
      <c r="DV40" s="234" t="str">
        <f>DT40</f>
        <v/>
      </c>
      <c r="DX40" s="220">
        <f>AH40</f>
        <v>6</v>
      </c>
      <c r="DY40" s="244">
        <f>IF(AI40="","",AI40)</f>
        <v>7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7</v>
      </c>
      <c r="EC40" s="244">
        <f>D40</f>
        <v>5</v>
      </c>
      <c r="ED40" s="144">
        <v>1</v>
      </c>
      <c r="EE40" s="266">
        <f>CU40</f>
        <v>6</v>
      </c>
      <c r="EF40" s="267">
        <f>IF(EE40="",0,1)</f>
        <v>1</v>
      </c>
      <c r="EG40" s="266" t="str">
        <f>IF(SUM($BH$40:$BJ$40)=2,$BH$2,"")</f>
        <v>xxx</v>
      </c>
      <c r="EH40" s="267" t="str">
        <f>IF(EE40="","",(INDEX(EG40:EG55,EE40-$CO$39)))</f>
        <v/>
      </c>
      <c r="EI40" s="605"/>
      <c r="EJ40" s="267">
        <f>IF(EE40="",$BK$2,(IF(EH40=$BH$2,$BK$2,ED40)))</f>
        <v>1</v>
      </c>
      <c r="EK40" s="267">
        <f>SMALL(EJ40:EJ55,ED40)</f>
        <v>1</v>
      </c>
      <c r="EL40" s="267">
        <f>IF(EK40=$BK$2,"",(INDEX($EE$40:$EE$55,EK40)))</f>
        <v>6</v>
      </c>
      <c r="EM40" s="267">
        <f>IF(EK40=EK41,1,0)</f>
        <v>0</v>
      </c>
      <c r="EN40" s="267">
        <f>IF(EM40=EM41,0,1)</f>
        <v>0</v>
      </c>
      <c r="EO40" s="267" t="str">
        <f>IF(EL40="","",(IF((EN40*CV39)=1,EL40,IF((EN41*CV39)=1,EL41,IF((EN42*CV39)=1,EL42,IF((EN43*CV39)=1,EL43,IF((EN44*CV39)=1,EL44,IF((EN45*CV39)=1,EL45,IF((EN46*CV39)=1,EL46,IF((EN47*CV39)=1,EL47,""))))))))))</f>
        <v/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6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5</v>
      </c>
      <c r="EW40" s="266">
        <f>E40</f>
        <v>6</v>
      </c>
      <c r="EX40" s="266">
        <f>H40</f>
        <v>7</v>
      </c>
      <c r="EY40" s="266" t="str">
        <f>K40</f>
        <v/>
      </c>
      <c r="EZ40" s="267" t="str">
        <f>EG40</f>
        <v>xxx</v>
      </c>
      <c r="FA40" s="267"/>
      <c r="FB40" s="267">
        <f>EQ40</f>
        <v>6</v>
      </c>
      <c r="FC40" s="267" t="str">
        <f>IF(AN40="","",AN40)</f>
        <v/>
      </c>
      <c r="FD40" s="267">
        <f t="shared" ref="FD40:FD55" si="196">IF(FB40="","",(INDEX($EW$40:$EW$55,FB40-$DF$36)))</f>
        <v>5</v>
      </c>
      <c r="FE40" s="267" t="str">
        <f t="shared" ref="FE40:FE55" si="197">IF(FB40="","",(INDEX($EX$40:$EX$55,FB40-$DF$36)))</f>
        <v>VL</v>
      </c>
      <c r="FF40" s="267">
        <f t="shared" ref="FF40:FF55" si="198">IF(FB40="","",(INDEX($EY$40:$EY$55,FB40-$DF$36)))</f>
        <v>7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6</v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5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5</v>
      </c>
      <c r="GD40" s="294">
        <f>IF(E40="","",E40)</f>
        <v>6</v>
      </c>
      <c r="GE40" s="294">
        <f>IF(H40="","",H40)</f>
        <v>7</v>
      </c>
      <c r="GF40" s="294" t="str">
        <f>IF(K40="","",K40)</f>
        <v/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>xxx</v>
      </c>
      <c r="GL40" s="294"/>
      <c r="GM40" s="294">
        <f>IF(F40="","",F40)</f>
        <v>0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0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5</v>
      </c>
      <c r="HC40" s="144">
        <v>1</v>
      </c>
      <c r="HD40" s="294" t="str">
        <f>IF(SUM($BH40:$BK40)&gt;=2,$BH$2,"")</f>
        <v>xxx</v>
      </c>
      <c r="HE40" s="287">
        <f>FN40</f>
        <v>6</v>
      </c>
      <c r="HF40" s="287">
        <f t="shared" ref="HF40:HF55" si="200">IF((HE40)="","",(INDEX($GD$40:$GD$55,HE40-$HI$36)))</f>
        <v>5</v>
      </c>
      <c r="HG40" s="287" t="str">
        <f t="shared" ref="HG40:HG55" si="201">IF(HE40="","",(INDEX($GE$40:$GE$55,HE40-$HI$36)))</f>
        <v>VL</v>
      </c>
      <c r="HH40" s="287">
        <f t="shared" ref="HH40:HH55" si="202">IF(HE40="","",(INDEX($GF$40:$GF$55,HE40-$HI$36)))</f>
        <v>7</v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6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6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5</v>
      </c>
      <c r="HY40" s="287" t="str">
        <f>IF(HS40="","",(INDEX($GE$40:$GE$55,$HS40-$HI$36)))</f>
        <v>VL</v>
      </c>
      <c r="HZ40" s="287">
        <f>IF(HS40="","",(INDEX($GF$40:$GF$55,$HS40-$HI$36)))</f>
        <v>7</v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6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5</v>
      </c>
      <c r="IR40" s="144">
        <v>1</v>
      </c>
      <c r="IS40" s="303" t="str">
        <f>IF(SUM($BH40:$BL40)&gt;1,$BH$2,"")</f>
        <v>xxx</v>
      </c>
      <c r="IT40" s="303">
        <f>HS40</f>
        <v>6</v>
      </c>
      <c r="IU40" s="303">
        <f>IF(IT40="","",(INDEX($GD$40:$GD$55,IT40-$IX$36)))</f>
        <v>5</v>
      </c>
      <c r="IV40" s="303" t="str">
        <f>IF($IT40="","",(INDEX($GE$40:$GE$55,$IT40-$IX$36)))</f>
        <v>VL</v>
      </c>
      <c r="IW40" s="303">
        <f>IF($IT40="","",(INDEX($GF$40:$GF$55,$IT40-$IX$36)))</f>
        <v>7</v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6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6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5</v>
      </c>
      <c r="JN40" s="303" t="str">
        <f>IF(JH40="","",(INDEX($GE$40:$GE$55,$JH40-$IX$36)))</f>
        <v>VL</v>
      </c>
      <c r="JO40" s="303">
        <f>IF(JH40="","",(INDEX($GF$40:$GF$55,$JH40-$IX$36)))</f>
        <v>7</v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6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5</v>
      </c>
      <c r="KH40" s="144">
        <v>1</v>
      </c>
      <c r="KI40" s="324" t="str">
        <f>IF(SUM($BH40:$BM40)&gt;1,$BH$2,"")</f>
        <v>xxx</v>
      </c>
      <c r="KJ40" s="330">
        <f>JH40</f>
        <v>6</v>
      </c>
      <c r="KK40" s="330">
        <f>IF(KJ40="","",(INDEX($GD$40:$GD$55,KJ40-$KN$36)))</f>
        <v>5</v>
      </c>
      <c r="KL40" s="330" t="str">
        <f>IF($KJ40="","",(INDEX($GE$40:$GE$55,$KJ40-$KN$36)))</f>
        <v>VL</v>
      </c>
      <c r="KM40" s="330">
        <f>IF($KJ40="","",(INDEX($GF$40:$GF$55,$KJ40-$KN$36)))</f>
        <v>7</v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6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7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 t="str">
        <f>IF(KY40="","",(INDEX($GD$40:$GD$55,$KY40-$KN$36)))</f>
        <v>VL</v>
      </c>
      <c r="LE40" s="330">
        <f>IF(KY40="","",(INDEX($GE$40:$GE$55,$KY40-$KN$36)))</f>
        <v>5</v>
      </c>
      <c r="LF40" s="330">
        <f>IF(KY40="","",(INDEX($GF$40:$GF$55,$KY40-$KN$36)))</f>
        <v>6</v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7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3">
      <c r="A41" s="765"/>
      <c r="B41" s="766"/>
      <c r="C41" s="745"/>
      <c r="D41" s="751"/>
      <c r="E41" s="721"/>
      <c r="F41" s="29">
        <v>0</v>
      </c>
      <c r="G41" s="28"/>
      <c r="H41" s="728"/>
      <c r="I41" s="29">
        <v>0</v>
      </c>
      <c r="J41" s="28"/>
      <c r="K41" s="728"/>
      <c r="L41" s="29"/>
      <c r="M41" s="28"/>
      <c r="N41" s="728"/>
      <c r="O41" s="29"/>
      <c r="P41" s="28"/>
      <c r="Q41" s="728"/>
      <c r="R41" s="29"/>
      <c r="S41" s="28"/>
      <c r="T41" s="728"/>
      <c r="U41" s="29"/>
      <c r="V41" s="28"/>
      <c r="W41" s="729"/>
      <c r="X41" s="29"/>
      <c r="Y41" s="30"/>
      <c r="Z41" s="731"/>
      <c r="AA41" s="733"/>
      <c r="AB41" s="738"/>
      <c r="AC41" s="740"/>
      <c r="AD41" s="737"/>
      <c r="AE41" s="722"/>
      <c r="AG41" s="504">
        <v>2</v>
      </c>
      <c r="AH41" s="477">
        <f t="shared" ref="AH41:AH55" si="209">IF($K$5="","",(IF($H$5="x",CU41,"")))</f>
        <v>7</v>
      </c>
      <c r="AI41" s="255"/>
      <c r="AJ41" s="478">
        <f t="shared" si="188"/>
        <v>6</v>
      </c>
      <c r="AK41" s="479" t="str">
        <f t="shared" ref="AK41:AK47" si="210">IF($K$5="","",(DM41))</f>
        <v/>
      </c>
      <c r="AM41" s="617">
        <f>IF(AI40="","",(IF($N$5="x",EQ41,"")))</f>
        <v>7</v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0</v>
      </c>
      <c r="BS41" s="234">
        <f>D42</f>
        <v>6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6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5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7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7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7</v>
      </c>
      <c r="CU41" s="235">
        <f t="shared" ref="CU41:CU55" si="228">IF(CT41=$BK$2,"",CT41)</f>
        <v>7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7</v>
      </c>
      <c r="DA41" s="234">
        <f>D42</f>
        <v>6</v>
      </c>
      <c r="DB41" s="234">
        <f>E42</f>
        <v>5</v>
      </c>
      <c r="DC41" s="234" t="str">
        <f>H42</f>
        <v>VL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7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5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6</v>
      </c>
      <c r="DO41" s="234">
        <f t="shared" ref="DO41:DO55" si="239">AH41</f>
        <v>7</v>
      </c>
      <c r="DP41" s="234">
        <f t="shared" ref="DP41:DP55" si="240">AJ41</f>
        <v>6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7</v>
      </c>
      <c r="DV41" s="234"/>
      <c r="DX41" s="220">
        <f t="shared" ref="DX41:DX55" si="244">AH41</f>
        <v>7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6</v>
      </c>
      <c r="EC41" s="294">
        <f>D42</f>
        <v>6</v>
      </c>
      <c r="ED41" s="145">
        <v>2</v>
      </c>
      <c r="EE41" s="266">
        <f t="shared" ref="EE41:EE55" si="249">CU41</f>
        <v>7</v>
      </c>
      <c r="EF41" s="267">
        <f t="shared" ref="EF41:EF55" si="250">IF(EE41="",0,1)</f>
        <v>1</v>
      </c>
      <c r="EG41" s="266" t="str">
        <f>IF(SUM($BH$42:$BJ$42)=2,$BH$2,"")</f>
        <v/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2</v>
      </c>
      <c r="EL41" s="525">
        <f>IF(EK41=$BK$2,"",(INDEX($EE$40:$EE$55,EK41)))</f>
        <v>7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6</v>
      </c>
      <c r="EW41" s="266">
        <f>E42</f>
        <v>5</v>
      </c>
      <c r="EX41" s="266" t="str">
        <f>H42</f>
        <v>VL</v>
      </c>
      <c r="EY41" s="266">
        <f>K42</f>
        <v>7</v>
      </c>
      <c r="EZ41" s="267" t="str">
        <f t="shared" ref="EZ41:EZ55" si="257">EG41</f>
        <v/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 t="str">
        <f t="shared" si="196"/>
        <v>VL</v>
      </c>
      <c r="FE41" s="538">
        <f t="shared" si="197"/>
        <v>5</v>
      </c>
      <c r="FF41" s="538">
        <f t="shared" si="198"/>
        <v>6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7</v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6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6</v>
      </c>
      <c r="GD41" s="294">
        <f>IF(E42="","",E42)</f>
        <v>5</v>
      </c>
      <c r="GE41" s="294" t="str">
        <f>IF(H42="","",H42)</f>
        <v>VL</v>
      </c>
      <c r="GF41" s="294">
        <f>IF(K42="","",K42)</f>
        <v>7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/>
      </c>
      <c r="GL41" s="294"/>
      <c r="GM41" s="294">
        <f>IF(F42="","",F42)</f>
        <v>5</v>
      </c>
      <c r="GN41" s="294" t="str">
        <f>IF(I42="","",I42)</f>
        <v/>
      </c>
      <c r="GO41" s="294">
        <f>IF(L42="","",L42)</f>
        <v>5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8</v>
      </c>
      <c r="GV41" s="294" t="str">
        <f>IF(I43="","",I43)</f>
        <v/>
      </c>
      <c r="GW41" s="294">
        <f>IF(L43="","",L43)</f>
        <v>4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6</v>
      </c>
      <c r="HC41" s="145">
        <v>2</v>
      </c>
      <c r="HD41" s="294" t="str">
        <f>IF(SUM($BH42:$BK42)&gt;=2,$BH$2,"")</f>
        <v/>
      </c>
      <c r="HE41" s="287">
        <f t="shared" ref="HE41:HE55" si="267">FN41</f>
        <v>7</v>
      </c>
      <c r="HF41" s="294" t="str">
        <f t="shared" si="200"/>
        <v>VL</v>
      </c>
      <c r="HG41" s="294">
        <f t="shared" si="201"/>
        <v>5</v>
      </c>
      <c r="HH41" s="294">
        <f t="shared" si="202"/>
        <v>6</v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7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7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>VL</v>
      </c>
      <c r="HY41" s="294">
        <f t="shared" ref="HY41:HY55" si="276">IF(HS41="","",(INDEX($GE$40:$GE$55,$HS41-$HI$36)))</f>
        <v>5</v>
      </c>
      <c r="HZ41" s="294">
        <f t="shared" ref="HZ41:HZ55" si="277">IF(HS41="","",(INDEX($GF$40:$GF$55,$HS41-$HI$36)))</f>
        <v>6</v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7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6</v>
      </c>
      <c r="IR41" s="145">
        <v>2</v>
      </c>
      <c r="IS41" s="303" t="str">
        <f>IF(SUM($BH42:$BL42)&gt;1,$BH$2,"")</f>
        <v/>
      </c>
      <c r="IT41" s="303">
        <f t="shared" ref="IT41:IT55" si="288">HS41</f>
        <v>7</v>
      </c>
      <c r="IU41" s="303" t="str">
        <f t="shared" ref="IU41:IU55" si="289">IF(IT41="","",(INDEX($GD$40:$GD$55,IT41-$IX$36)))</f>
        <v>VL</v>
      </c>
      <c r="IV41" s="303">
        <f t="shared" ref="IV41:IV55" si="290">IF($IT41="","",(INDEX($GE$40:$GE$55,$IT41-$IX$36)))</f>
        <v>5</v>
      </c>
      <c r="IW41" s="303">
        <f t="shared" ref="IW41:IW55" si="291">IF($IT41="","",(INDEX($GF$40:$GF$55,$IT41-$IX$36)))</f>
        <v>6</v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7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7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5</v>
      </c>
      <c r="JO41" s="303">
        <f t="shared" ref="JO41:JO53" si="303">IF(JH41="","",(INDEX($GF$40:$GF$55,$JH41-$IX$36)))</f>
        <v>6</v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7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6</v>
      </c>
      <c r="KH41" s="145">
        <v>2</v>
      </c>
      <c r="KI41" s="324" t="str">
        <f>IF(SUM($BH42:$BM42)&gt;1,$BH$2,"")</f>
        <v/>
      </c>
      <c r="KJ41" s="324">
        <f t="shared" ref="KJ41:KJ55" si="316">JH41</f>
        <v>7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5</v>
      </c>
      <c r="KM41" s="327">
        <f t="shared" ref="KM41:KM55" si="319">IF($KJ41="","",(INDEX($GF$40:$GF$55,$KJ41-$KN$36)))</f>
        <v>6</v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7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6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>
        <f t="shared" ref="LD41:LD55" si="331">IF(KY41="","",(INDEX($GD$40:$GD$55,$KY41-$KN$36)))</f>
        <v>5</v>
      </c>
      <c r="LE41" s="327" t="str">
        <f t="shared" ref="LE41:LE55" si="332">IF(KY41="","",(INDEX($GE$40:$GE$55,$KY41-$KN$36)))</f>
        <v>VL</v>
      </c>
      <c r="LF41" s="327">
        <f t="shared" ref="LF41:LF55" si="333">IF(KY41="","",(INDEX($GF$40:$GF$55,$KY41-$KN$36)))</f>
        <v>7</v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6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3">
      <c r="A42" s="765" t="str">
        <f>'Vážní listina'!HQ41</f>
        <v>Staníček David</v>
      </c>
      <c r="B42" s="766" t="str">
        <f>'Vážní listina'!HR41</f>
        <v>Krn.</v>
      </c>
      <c r="C42" s="745" t="str">
        <f>IF(BP42="","",(IF(BP42&gt;1,$BH$2,"")))</f>
        <v/>
      </c>
      <c r="D42" s="750">
        <f>'Vážní listina'!HK41</f>
        <v>6</v>
      </c>
      <c r="E42" s="752">
        <f>'Vážní listina'!HL41</f>
        <v>5</v>
      </c>
      <c r="F42" s="26">
        <v>5</v>
      </c>
      <c r="G42" s="32"/>
      <c r="H42" s="721" t="str">
        <f>IF(H5="","",'Vážní listina'!HM41)</f>
        <v>VL</v>
      </c>
      <c r="I42" s="26"/>
      <c r="J42" s="32"/>
      <c r="K42" s="721">
        <f>IF(K5="","",DV42)</f>
        <v>7</v>
      </c>
      <c r="L42" s="26">
        <v>5</v>
      </c>
      <c r="M42" s="32"/>
      <c r="N42" s="721" t="str">
        <f>IF(N5="","",FZ42)</f>
        <v/>
      </c>
      <c r="O42" s="26"/>
      <c r="P42" s="32"/>
      <c r="Q42" s="721" t="str">
        <f>IF(Q5="","",IP42)</f>
        <v/>
      </c>
      <c r="R42" s="26"/>
      <c r="S42" s="32"/>
      <c r="T42" s="721" t="str">
        <f>IF(T5="","",KF42)</f>
        <v/>
      </c>
      <c r="U42" s="26"/>
      <c r="V42" s="32"/>
      <c r="W42" s="729" t="str">
        <f>IF(W5="","",LW42)</f>
        <v/>
      </c>
      <c r="X42" s="26"/>
      <c r="Y42" s="33"/>
      <c r="Z42" s="731">
        <f>IF(A42="","",(F42+I42+L42+O42+R42+U42+X42))</f>
        <v>10</v>
      </c>
      <c r="AA42" s="733">
        <f>IF(A42="","",(F43+I43+L43+O43+R43+U43+X43))</f>
        <v>12</v>
      </c>
      <c r="AB42" s="738">
        <f>IF(A42="","",(G42+J42+M42+P42+S42+V42+Y42))</f>
        <v>0</v>
      </c>
      <c r="AC42" s="740" t="str">
        <f>HF114</f>
        <v>F</v>
      </c>
      <c r="AD42" s="722"/>
      <c r="AE42" s="722">
        <f>IF(D42="","",(IF('Tabulka finále'!$BK$47=1,(IF('Tabulka finále'!$K$56="","",(IF($AC$5="","",(IF($H$5="","",(FW152))))))),"")))</f>
        <v>1</v>
      </c>
      <c r="AG42" s="504">
        <v>3</v>
      </c>
      <c r="AH42" s="477" t="str">
        <f t="shared" si="209"/>
        <v/>
      </c>
      <c r="AI42" s="255"/>
      <c r="AJ42" s="478" t="str">
        <f t="shared" si="188"/>
        <v/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0</v>
      </c>
      <c r="BI42" s="563" t="str">
        <f>(IF(I42="","",(IF(I42&lt;2,1,0))))</f>
        <v/>
      </c>
      <c r="BJ42" s="563">
        <f>(IF(L42="","",(IF(L42&lt;2,1,0))))</f>
        <v>0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0</v>
      </c>
      <c r="BR42" s="234">
        <f>BP44</f>
        <v>1</v>
      </c>
      <c r="BS42" s="234">
        <f>D44</f>
        <v>7</v>
      </c>
      <c r="BT42" s="574" t="str">
        <f>IF(SUM(BH44,BI44)=2,$BH$2,"")</f>
        <v/>
      </c>
      <c r="BV42" s="216">
        <f t="shared" si="191"/>
        <v>6</v>
      </c>
      <c r="BW42" s="231">
        <f t="shared" si="192"/>
        <v>0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7</v>
      </c>
      <c r="CD42" s="565">
        <f t="shared" si="219"/>
        <v>1</v>
      </c>
      <c r="CE42" s="568">
        <f t="shared" si="220"/>
        <v>1</v>
      </c>
      <c r="CF42" s="565"/>
      <c r="CG42" s="565"/>
      <c r="CH42" s="565">
        <f t="shared" ref="CH42:CH55" si="345">IF(CC42=0,0,(IF($CF$39=0,CC42,CC41)))</f>
        <v>6</v>
      </c>
      <c r="CI42" s="565">
        <f t="shared" si="221"/>
        <v>1</v>
      </c>
      <c r="CJ42" s="568">
        <f t="shared" si="222"/>
        <v>1</v>
      </c>
      <c r="CK42" s="565"/>
      <c r="CL42" s="565"/>
      <c r="CM42" s="565">
        <f t="shared" ref="CM42:CM55" si="346">IF(CH42=0,0,(IF($CK$39=0,CH42,CH41)))</f>
        <v>5</v>
      </c>
      <c r="CN42" s="565"/>
      <c r="CO42" s="235">
        <f t="shared" si="223"/>
        <v>1</v>
      </c>
      <c r="CP42" s="568" t="str">
        <f t="shared" si="224"/>
        <v>xxx</v>
      </c>
      <c r="CQ42" s="565">
        <f t="shared" si="225"/>
        <v>999</v>
      </c>
      <c r="CR42" s="235">
        <f t="shared" si="226"/>
        <v>999</v>
      </c>
      <c r="CS42" s="235">
        <f t="shared" si="227"/>
        <v>4</v>
      </c>
      <c r="CT42" s="235">
        <f t="shared" si="193"/>
        <v>999</v>
      </c>
      <c r="CU42" s="235" t="str">
        <f t="shared" si="228"/>
        <v/>
      </c>
      <c r="CV42" s="235">
        <f t="shared" si="229"/>
        <v>0</v>
      </c>
      <c r="CW42" s="250">
        <f t="shared" si="230"/>
        <v>0</v>
      </c>
      <c r="CX42" s="211" t="str">
        <f t="shared" si="231"/>
        <v/>
      </c>
      <c r="DA42" s="234">
        <f>D44</f>
        <v>7</v>
      </c>
      <c r="DB42" s="234" t="str">
        <f>E44</f>
        <v>VL</v>
      </c>
      <c r="DC42" s="234">
        <f>H44</f>
        <v>5</v>
      </c>
      <c r="DD42" s="234" t="str">
        <f t="shared" si="232"/>
        <v/>
      </c>
      <c r="DE42" s="234"/>
      <c r="DF42" s="234" t="str">
        <f t="shared" si="233"/>
        <v/>
      </c>
      <c r="DG42" s="234" t="str">
        <f t="shared" si="234"/>
        <v/>
      </c>
      <c r="DH42" s="234" t="str">
        <f t="shared" si="235"/>
        <v/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7</v>
      </c>
      <c r="DO42" s="234" t="str">
        <f t="shared" si="239"/>
        <v/>
      </c>
      <c r="DP42" s="234" t="str">
        <f t="shared" si="240"/>
        <v/>
      </c>
      <c r="DR42" s="234">
        <f t="shared" si="241"/>
        <v>6</v>
      </c>
      <c r="DS42" s="257" t="str">
        <f t="shared" si="242"/>
        <v/>
      </c>
      <c r="DT42" s="234">
        <f t="shared" si="243"/>
        <v>6</v>
      </c>
      <c r="DV42" s="234">
        <f>DT41</f>
        <v>7</v>
      </c>
      <c r="DX42" s="220" t="str">
        <f t="shared" si="244"/>
        <v/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7</v>
      </c>
      <c r="ED42" s="145">
        <v>3</v>
      </c>
      <c r="EE42" s="266" t="str">
        <f t="shared" si="249"/>
        <v/>
      </c>
      <c r="EF42" s="267">
        <f t="shared" si="250"/>
        <v>0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999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7</v>
      </c>
      <c r="EW42" s="266" t="str">
        <f>E44</f>
        <v>VL</v>
      </c>
      <c r="EX42" s="266">
        <f>H44</f>
        <v>5</v>
      </c>
      <c r="EY42" s="266">
        <f>K44</f>
        <v>6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7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7</v>
      </c>
      <c r="GD42" s="294" t="str">
        <f>IF(E44="","",E44)</f>
        <v>VL</v>
      </c>
      <c r="GE42" s="294">
        <f>IF(H44="","",H44)</f>
        <v>5</v>
      </c>
      <c r="GF42" s="294">
        <f>IF(K44="","",K44)</f>
        <v>6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 t="str">
        <f>IF(F44="","",F44)</f>
        <v/>
      </c>
      <c r="GN42" s="294">
        <f>IF(I44="","",I44)</f>
        <v>5</v>
      </c>
      <c r="GO42" s="294">
        <f>IF(L44="","",L44)</f>
        <v>0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 t="str">
        <f>IF(F45="","",F45)</f>
        <v/>
      </c>
      <c r="GV42" s="294">
        <f>IF(I45="","",I45)</f>
        <v>4</v>
      </c>
      <c r="GW42" s="294">
        <f>IF(L45="","",L45)</f>
        <v>0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7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7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7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3">
      <c r="A43" s="765"/>
      <c r="B43" s="766"/>
      <c r="C43" s="745"/>
      <c r="D43" s="751"/>
      <c r="E43" s="728"/>
      <c r="F43" s="29">
        <v>8</v>
      </c>
      <c r="G43" s="30"/>
      <c r="H43" s="721"/>
      <c r="I43" s="29"/>
      <c r="J43" s="30"/>
      <c r="K43" s="721"/>
      <c r="L43" s="29">
        <v>4</v>
      </c>
      <c r="M43" s="30"/>
      <c r="N43" s="721"/>
      <c r="O43" s="29"/>
      <c r="P43" s="30"/>
      <c r="Q43" s="721"/>
      <c r="R43" s="29"/>
      <c r="S43" s="30"/>
      <c r="T43" s="721"/>
      <c r="U43" s="29"/>
      <c r="V43" s="30"/>
      <c r="W43" s="729"/>
      <c r="X43" s="29"/>
      <c r="Y43" s="30"/>
      <c r="Z43" s="731"/>
      <c r="AA43" s="733"/>
      <c r="AB43" s="738"/>
      <c r="AC43" s="740"/>
      <c r="AD43" s="722"/>
      <c r="AE43" s="722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 t="str">
        <f>BP46</f>
        <v/>
      </c>
      <c r="BS43" s="234" t="str">
        <f>D46</f>
        <v/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0</v>
      </c>
      <c r="CD43" s="565">
        <f t="shared" si="219"/>
        <v>0</v>
      </c>
      <c r="CE43" s="568">
        <f t="shared" si="220"/>
        <v>0</v>
      </c>
      <c r="CF43" s="565"/>
      <c r="CG43" s="565"/>
      <c r="CH43" s="565">
        <f t="shared" si="345"/>
        <v>0</v>
      </c>
      <c r="CI43" s="565">
        <f t="shared" si="221"/>
        <v>0</v>
      </c>
      <c r="CJ43" s="568">
        <f t="shared" si="222"/>
        <v>0</v>
      </c>
      <c r="CK43" s="565"/>
      <c r="CL43" s="565"/>
      <c r="CM43" s="565">
        <f t="shared" si="346"/>
        <v>0</v>
      </c>
      <c r="CN43" s="565"/>
      <c r="CO43" s="235">
        <f t="shared" si="223"/>
        <v>0</v>
      </c>
      <c r="CP43" s="568" t="str">
        <f t="shared" si="224"/>
        <v/>
      </c>
      <c r="CQ43" s="565">
        <f>IF(CM43=0,$BK$2,(IF(CP43=$BH$2,$BK$2,CM43)))</f>
        <v>999</v>
      </c>
      <c r="CR43" s="235">
        <f t="shared" si="226"/>
        <v>4</v>
      </c>
      <c r="CS43" s="235">
        <f t="shared" si="227"/>
        <v>5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 t="str">
        <f>D46</f>
        <v/>
      </c>
      <c r="DB43" s="234" t="str">
        <f>E46</f>
        <v/>
      </c>
      <c r="DC43" s="234" t="str">
        <f>H46</f>
        <v/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 t="str">
        <f t="shared" si="238"/>
        <v/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 t="str">
        <f>D46</f>
        <v/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 t="str">
        <f>D46</f>
        <v/>
      </c>
      <c r="EW43" s="266" t="str">
        <f>E46</f>
        <v/>
      </c>
      <c r="EX43" s="266" t="str">
        <f>H46</f>
        <v/>
      </c>
      <c r="EY43" s="266" t="str">
        <f>K46</f>
        <v/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8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 t="str">
        <f>IF(D46="","",D46)</f>
        <v/>
      </c>
      <c r="GD43" s="294" t="str">
        <f>IF(E46="","",E46)</f>
        <v/>
      </c>
      <c r="GE43" s="294" t="str">
        <f>IF(H46="","",H46)</f>
        <v/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 t="str">
        <f>IF(F46="","",F46)</f>
        <v/>
      </c>
      <c r="GN43" s="294" t="str">
        <f>IF(I46="","",I46)</f>
        <v/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 t="str">
        <f>IF(F47="","",F47)</f>
        <v/>
      </c>
      <c r="GV43" s="294" t="str">
        <f>IF(I47="","",I47)</f>
        <v/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 t="str">
        <f>D46</f>
        <v/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 t="str">
        <f>D46</f>
        <v/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 t="str">
        <f>D46</f>
        <v/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3">
      <c r="A44" s="765" t="str">
        <f>'Vážní listina'!HQ43</f>
        <v xml:space="preserve">Černota Pavel </v>
      </c>
      <c r="B44" s="766" t="str">
        <f>'Vážní listina'!HR43</f>
        <v>Tichá</v>
      </c>
      <c r="C44" s="745" t="str">
        <f>IF(BP44="","",(IF(BP44&gt;1,$BH$2,"")))</f>
        <v/>
      </c>
      <c r="D44" s="750">
        <f>'Vážní listina'!HK43</f>
        <v>7</v>
      </c>
      <c r="E44" s="752" t="str">
        <f>'Vážní listina'!HL43</f>
        <v>VL</v>
      </c>
      <c r="F44" s="26"/>
      <c r="G44" s="33"/>
      <c r="H44" s="752">
        <f>IF(H5="","",'Vážní listina'!HM43)</f>
        <v>5</v>
      </c>
      <c r="I44" s="26">
        <v>5</v>
      </c>
      <c r="J44" s="33"/>
      <c r="K44" s="721">
        <f>IF(K5="","",DV44)</f>
        <v>6</v>
      </c>
      <c r="L44" s="26">
        <v>0</v>
      </c>
      <c r="M44" s="33"/>
      <c r="N44" s="721" t="str">
        <f>IF(N5="","",FZ44)</f>
        <v/>
      </c>
      <c r="O44" s="26"/>
      <c r="P44" s="33"/>
      <c r="Q44" s="721" t="str">
        <f>IF(Q5="","",IP44)</f>
        <v/>
      </c>
      <c r="R44" s="26"/>
      <c r="S44" s="33"/>
      <c r="T44" s="721" t="str">
        <f>IF(T5="","",KF44)</f>
        <v/>
      </c>
      <c r="U44" s="26"/>
      <c r="V44" s="33"/>
      <c r="W44" s="729" t="str">
        <f>IF(W5="","",LW44)</f>
        <v/>
      </c>
      <c r="X44" s="26"/>
      <c r="Y44" s="33"/>
      <c r="Z44" s="731">
        <f>IF(A44="","",(F44+I44+L44+O44+R44+U44+X44))</f>
        <v>5</v>
      </c>
      <c r="AA44" s="733">
        <f>IF(A44="","",(F45+I45+L45+O45+R45+U45+X45))</f>
        <v>4</v>
      </c>
      <c r="AB44" s="738">
        <f>IF(A44="","",(G44+J44+M44+P44+S44+V44+Y44))</f>
        <v>0</v>
      </c>
      <c r="AC44" s="740" t="str">
        <f>HF116</f>
        <v>F</v>
      </c>
      <c r="AD44" s="736"/>
      <c r="AE44" s="722">
        <f>IF(D44="","",(IF('Tabulka finále'!$BK$47=1,(IF('Tabulka finále'!$K$56="","",(IF($AC$5="","",(IF($H$5="","",(FW154))))))),"")))</f>
        <v>4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 t="str">
        <f>(IF(F44="","",(IF(F44&lt;2,1,0))))</f>
        <v/>
      </c>
      <c r="BI44" s="563">
        <f>(IF(I44="","",(IF(I44&lt;2,1,0))))</f>
        <v>0</v>
      </c>
      <c r="BJ44" s="563">
        <f>(IF(L44="","",(IF(L44&lt;2,1,0))))</f>
        <v>1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1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6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6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9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3">
      <c r="A45" s="765"/>
      <c r="B45" s="766"/>
      <c r="C45" s="745"/>
      <c r="D45" s="751"/>
      <c r="E45" s="728"/>
      <c r="F45" s="29"/>
      <c r="G45" s="30"/>
      <c r="H45" s="728"/>
      <c r="I45" s="29">
        <v>4</v>
      </c>
      <c r="J45" s="30"/>
      <c r="K45" s="721"/>
      <c r="L45" s="29">
        <v>0</v>
      </c>
      <c r="M45" s="30"/>
      <c r="N45" s="721"/>
      <c r="O45" s="29"/>
      <c r="P45" s="30"/>
      <c r="Q45" s="721"/>
      <c r="R45" s="29"/>
      <c r="S45" s="30"/>
      <c r="T45" s="721"/>
      <c r="U45" s="29"/>
      <c r="V45" s="30"/>
      <c r="W45" s="729"/>
      <c r="X45" s="29"/>
      <c r="Y45" s="30"/>
      <c r="Z45" s="731"/>
      <c r="AA45" s="733"/>
      <c r="AB45" s="738"/>
      <c r="AC45" s="740"/>
      <c r="AD45" s="737"/>
      <c r="AE45" s="722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7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10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3">
      <c r="A46" s="765" t="str">
        <f>'Vážní listina'!HQ45</f>
        <v/>
      </c>
      <c r="B46" s="766" t="str">
        <f>'Vážní listina'!HR45</f>
        <v/>
      </c>
      <c r="C46" s="745" t="str">
        <f>IF(BP46="","",(IF(BP46&gt;1,$BH$2,"")))</f>
        <v/>
      </c>
      <c r="D46" s="750" t="str">
        <f>'Vážní listina'!HK45</f>
        <v/>
      </c>
      <c r="E46" s="752" t="str">
        <f>'Vážní listina'!HL45</f>
        <v/>
      </c>
      <c r="F46" s="26"/>
      <c r="G46" s="32"/>
      <c r="H46" s="721" t="str">
        <f>IF(H5="","",'Vážní listina'!HM45)</f>
        <v/>
      </c>
      <c r="I46" s="26"/>
      <c r="J46" s="32"/>
      <c r="K46" s="721" t="str">
        <f>IF(K5="","",DV46)</f>
        <v/>
      </c>
      <c r="L46" s="26"/>
      <c r="M46" s="32"/>
      <c r="N46" s="721" t="str">
        <f>IF(N5="","",FZ46)</f>
        <v/>
      </c>
      <c r="O46" s="26"/>
      <c r="P46" s="32"/>
      <c r="Q46" s="721" t="str">
        <f>IF(Q5="","",IP46)</f>
        <v/>
      </c>
      <c r="R46" s="26"/>
      <c r="S46" s="32"/>
      <c r="T46" s="721" t="str">
        <f>IF(T5="","",KF46)</f>
        <v/>
      </c>
      <c r="U46" s="26"/>
      <c r="V46" s="32"/>
      <c r="W46" s="729" t="str">
        <f>IF(W5="","",LW46)</f>
        <v/>
      </c>
      <c r="X46" s="26"/>
      <c r="Y46" s="32"/>
      <c r="Z46" s="731" t="str">
        <f>IF(A46="","",(F46+I46+L46+O46+R46+U46+X46))</f>
        <v/>
      </c>
      <c r="AA46" s="733" t="str">
        <f>IF(A46="","",(F47+I47+L47+O47+R47+U47+X47))</f>
        <v/>
      </c>
      <c r="AB46" s="738" t="str">
        <f>IF(A46="","",(G46+J46+M46+P46+S46+V46+Y46))</f>
        <v/>
      </c>
      <c r="AC46" s="740" t="str">
        <f>HF118</f>
        <v/>
      </c>
      <c r="AD46" s="722"/>
      <c r="AE46" s="722" t="str">
        <f>IF(D46="","",(IF('Tabulka finále'!$BK$47=1,(IF('Tabulka finále'!$K$56="","",(IF($AC$5="","",(IF($H$5="","",(FW156))))))),"")))</f>
        <v/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0</v>
      </c>
      <c r="BH46" s="563" t="str">
        <f>(IF(F46="","",(IF(F46&lt;2,1,0))))</f>
        <v/>
      </c>
      <c r="BI46" s="563" t="str">
        <f>(IF(I46="","",(IF(I46&lt;2,1,0))))</f>
        <v/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 t="str">
        <f>IF(BG46=0,"",(SUM(BH46:BN46)))</f>
        <v/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8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11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3">
      <c r="A47" s="765"/>
      <c r="B47" s="766"/>
      <c r="C47" s="745"/>
      <c r="D47" s="751"/>
      <c r="E47" s="728"/>
      <c r="F47" s="29"/>
      <c r="G47" s="30"/>
      <c r="H47" s="721"/>
      <c r="I47" s="29"/>
      <c r="J47" s="30"/>
      <c r="K47" s="721"/>
      <c r="L47" s="29"/>
      <c r="M47" s="30"/>
      <c r="N47" s="721"/>
      <c r="O47" s="29"/>
      <c r="P47" s="30"/>
      <c r="Q47" s="721"/>
      <c r="R47" s="29"/>
      <c r="S47" s="30"/>
      <c r="T47" s="721"/>
      <c r="U47" s="29"/>
      <c r="V47" s="30"/>
      <c r="W47" s="729"/>
      <c r="X47" s="29"/>
      <c r="Y47" s="30"/>
      <c r="Z47" s="731"/>
      <c r="AA47" s="733"/>
      <c r="AB47" s="738"/>
      <c r="AC47" s="740"/>
      <c r="AD47" s="722"/>
      <c r="AE47" s="722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9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12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3">
      <c r="A48" s="765" t="str">
        <f>'Vážní listina'!HQ47</f>
        <v/>
      </c>
      <c r="B48" s="766" t="str">
        <f>'Vážní listina'!HR47</f>
        <v/>
      </c>
      <c r="C48" s="745" t="str">
        <f>IF(BP48="","",(IF(BP48&gt;1,$BH$2,"")))</f>
        <v/>
      </c>
      <c r="D48" s="750" t="str">
        <f>'Vážní listina'!HK47</f>
        <v/>
      </c>
      <c r="E48" s="752" t="str">
        <f>'Vážní listina'!HL47</f>
        <v/>
      </c>
      <c r="F48" s="26"/>
      <c r="G48" s="33"/>
      <c r="H48" s="752" t="str">
        <f>IF(H5="","",'Vážní listina'!HM47)</f>
        <v/>
      </c>
      <c r="I48" s="26"/>
      <c r="J48" s="33"/>
      <c r="K48" s="721" t="str">
        <f>IF(K5="","",DV48)</f>
        <v/>
      </c>
      <c r="L48" s="26"/>
      <c r="M48" s="33"/>
      <c r="N48" s="721" t="str">
        <f>IF(N5="","",FZ48)</f>
        <v/>
      </c>
      <c r="O48" s="26"/>
      <c r="P48" s="33"/>
      <c r="Q48" s="721" t="str">
        <f>IF(Q5="","",IP48)</f>
        <v/>
      </c>
      <c r="R48" s="26"/>
      <c r="S48" s="33"/>
      <c r="T48" s="721" t="str">
        <f>IF(T5="","",KF48)</f>
        <v/>
      </c>
      <c r="U48" s="26"/>
      <c r="V48" s="33"/>
      <c r="W48" s="729" t="str">
        <f>IF(W5="","",LW48)</f>
        <v/>
      </c>
      <c r="X48" s="26"/>
      <c r="Y48" s="33"/>
      <c r="Z48" s="731" t="str">
        <f>IF(A48="","",(F48+I48+L48+O48+R48+U48+X48))</f>
        <v/>
      </c>
      <c r="AA48" s="733" t="str">
        <f>IF(A48="","",(F49+I49+L49+O49+R49+U49+X49))</f>
        <v/>
      </c>
      <c r="AB48" s="738" t="str">
        <f>IF(A48="","",(G48+J48+M48+P48+S48+V48+Y48))</f>
        <v/>
      </c>
      <c r="AC48" s="740" t="str">
        <f>HF120</f>
        <v/>
      </c>
      <c r="AD48" s="736"/>
      <c r="AE48" s="722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10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13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3">
      <c r="A49" s="765"/>
      <c r="B49" s="766"/>
      <c r="C49" s="745"/>
      <c r="D49" s="751"/>
      <c r="E49" s="728"/>
      <c r="F49" s="29"/>
      <c r="G49" s="30"/>
      <c r="H49" s="728"/>
      <c r="I49" s="29"/>
      <c r="J49" s="30"/>
      <c r="K49" s="721"/>
      <c r="L49" s="29"/>
      <c r="M49" s="30"/>
      <c r="N49" s="721"/>
      <c r="O49" s="29"/>
      <c r="P49" s="30"/>
      <c r="Q49" s="721"/>
      <c r="R49" s="29"/>
      <c r="S49" s="30"/>
      <c r="T49" s="721"/>
      <c r="U49" s="29"/>
      <c r="V49" s="30"/>
      <c r="W49" s="729"/>
      <c r="X49" s="29"/>
      <c r="Y49" s="30"/>
      <c r="Z49" s="731"/>
      <c r="AA49" s="733"/>
      <c r="AB49" s="738"/>
      <c r="AC49" s="740"/>
      <c r="AD49" s="737"/>
      <c r="AE49" s="722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11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14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3">
      <c r="A50" s="765" t="str">
        <f>'Vážní listina'!HQ49</f>
        <v/>
      </c>
      <c r="B50" s="766" t="str">
        <f>'Vážní listina'!HR49</f>
        <v/>
      </c>
      <c r="C50" s="745" t="str">
        <f>IF(BP50="","",(IF(BP50&gt;1,$BH$2,"")))</f>
        <v/>
      </c>
      <c r="D50" s="750" t="str">
        <f>'Vážní listina'!HK49</f>
        <v/>
      </c>
      <c r="E50" s="752" t="str">
        <f>'Vážní listina'!HL49</f>
        <v/>
      </c>
      <c r="F50" s="26"/>
      <c r="G50" s="32"/>
      <c r="H50" s="721" t="str">
        <f>IF(H5="","",'Vážní listina'!HM49)</f>
        <v/>
      </c>
      <c r="I50" s="26"/>
      <c r="J50" s="32"/>
      <c r="K50" s="721" t="str">
        <f>IF(K5="","",DV50)</f>
        <v/>
      </c>
      <c r="L50" s="26"/>
      <c r="M50" s="32"/>
      <c r="N50" s="721" t="str">
        <f>IF(N5="","",FZ50)</f>
        <v/>
      </c>
      <c r="O50" s="26"/>
      <c r="P50" s="32"/>
      <c r="Q50" s="721" t="str">
        <f>IF(Q5="","",IP50)</f>
        <v/>
      </c>
      <c r="R50" s="26"/>
      <c r="S50" s="32"/>
      <c r="T50" s="721" t="str">
        <f>IF(T5="","",KF50)</f>
        <v/>
      </c>
      <c r="U50" s="26"/>
      <c r="V50" s="32"/>
      <c r="W50" s="729" t="str">
        <f>IF(W5="","",LW50)</f>
        <v/>
      </c>
      <c r="X50" s="26"/>
      <c r="Y50" s="33"/>
      <c r="Z50" s="731" t="str">
        <f>IF(A50="","",(F50+I50+L50+O50+R50+U50+X50))</f>
        <v/>
      </c>
      <c r="AA50" s="733" t="str">
        <f>IF(A50="","",(F51+I51+L51+O51+R51+U51+X51))</f>
        <v/>
      </c>
      <c r="AB50" s="738" t="str">
        <f>IF(A50="","",(G50+J50+M50+P50+S50+V50+Y50))</f>
        <v/>
      </c>
      <c r="AC50" s="740" t="str">
        <f>HF122</f>
        <v/>
      </c>
      <c r="AD50" s="722"/>
      <c r="AE50" s="722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12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15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3">
      <c r="A51" s="765"/>
      <c r="B51" s="766"/>
      <c r="C51" s="745"/>
      <c r="D51" s="751"/>
      <c r="E51" s="728"/>
      <c r="F51" s="29"/>
      <c r="G51" s="30"/>
      <c r="H51" s="721"/>
      <c r="I51" s="29"/>
      <c r="J51" s="30"/>
      <c r="K51" s="721"/>
      <c r="L51" s="29"/>
      <c r="M51" s="30"/>
      <c r="N51" s="721"/>
      <c r="O51" s="29"/>
      <c r="P51" s="30"/>
      <c r="Q51" s="721"/>
      <c r="R51" s="29"/>
      <c r="S51" s="30"/>
      <c r="T51" s="721"/>
      <c r="U51" s="29"/>
      <c r="V51" s="30"/>
      <c r="W51" s="729"/>
      <c r="X51" s="29"/>
      <c r="Y51" s="30"/>
      <c r="Z51" s="731"/>
      <c r="AA51" s="733"/>
      <c r="AB51" s="738"/>
      <c r="AC51" s="740"/>
      <c r="AD51" s="722"/>
      <c r="AE51" s="722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13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16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3">
      <c r="A52" s="765" t="str">
        <f>'Vážní listina'!HQ51</f>
        <v/>
      </c>
      <c r="B52" s="766" t="str">
        <f>'Vážní listina'!HR51</f>
        <v/>
      </c>
      <c r="C52" s="745" t="str">
        <f>IF(BP52="","",(IF(BP52&gt;1,$BH$2,"")))</f>
        <v/>
      </c>
      <c r="D52" s="750" t="str">
        <f>'Vážní listina'!HK51</f>
        <v/>
      </c>
      <c r="E52" s="752" t="str">
        <f>'Vážní listina'!HL51</f>
        <v/>
      </c>
      <c r="F52" s="26"/>
      <c r="G52" s="33"/>
      <c r="H52" s="752" t="str">
        <f>IF(H5="","",'Vážní listina'!HM51)</f>
        <v/>
      </c>
      <c r="I52" s="26"/>
      <c r="J52" s="33"/>
      <c r="K52" s="721" t="str">
        <f>IF(K5="","",DV52)</f>
        <v/>
      </c>
      <c r="L52" s="26"/>
      <c r="M52" s="33"/>
      <c r="N52" s="721" t="str">
        <f>IF(N5="","",FZ52)</f>
        <v/>
      </c>
      <c r="O52" s="26"/>
      <c r="P52" s="33"/>
      <c r="Q52" s="721" t="str">
        <f>IF(Q5="","",IP52)</f>
        <v/>
      </c>
      <c r="R52" s="26"/>
      <c r="S52" s="33"/>
      <c r="T52" s="721" t="str">
        <f>IF(T5="","",KF52)</f>
        <v/>
      </c>
      <c r="U52" s="26"/>
      <c r="V52" s="33"/>
      <c r="W52" s="729" t="str">
        <f>IF(W5="","",LW52)</f>
        <v/>
      </c>
      <c r="X52" s="26"/>
      <c r="Y52" s="33"/>
      <c r="Z52" s="731" t="str">
        <f>IF(A52="","",(F52+I52+L52+O52+R52+U52+X52))</f>
        <v/>
      </c>
      <c r="AA52" s="733" t="str">
        <f>IF(A52="","",(F53+I53+L53+O53+R53+U53+X53))</f>
        <v/>
      </c>
      <c r="AB52" s="738" t="str">
        <f>IF(A52="","",(G52+J52+M52+P52+S52+V52+Y52))</f>
        <v/>
      </c>
      <c r="AC52" s="740" t="str">
        <f>HF124</f>
        <v/>
      </c>
      <c r="AD52" s="736"/>
      <c r="AE52" s="722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14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17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3">
      <c r="A53" s="765"/>
      <c r="B53" s="766"/>
      <c r="C53" s="745"/>
      <c r="D53" s="751"/>
      <c r="E53" s="728"/>
      <c r="F53" s="29"/>
      <c r="G53" s="30"/>
      <c r="H53" s="728"/>
      <c r="I53" s="29"/>
      <c r="J53" s="30"/>
      <c r="K53" s="721"/>
      <c r="L53" s="29"/>
      <c r="M53" s="30"/>
      <c r="N53" s="721"/>
      <c r="O53" s="29"/>
      <c r="P53" s="30"/>
      <c r="Q53" s="721"/>
      <c r="R53" s="29"/>
      <c r="S53" s="30"/>
      <c r="T53" s="721"/>
      <c r="U53" s="29"/>
      <c r="V53" s="30"/>
      <c r="W53" s="729"/>
      <c r="X53" s="29"/>
      <c r="Y53" s="30"/>
      <c r="Z53" s="731"/>
      <c r="AA53" s="733"/>
      <c r="AB53" s="738"/>
      <c r="AC53" s="740"/>
      <c r="AD53" s="737"/>
      <c r="AE53" s="722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15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18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3">
      <c r="A54" s="765" t="str">
        <f>'Vážní listina'!HQ53</f>
        <v/>
      </c>
      <c r="B54" s="766" t="str">
        <f>'Vážní listina'!HR53</f>
        <v/>
      </c>
      <c r="C54" s="745" t="str">
        <f>IF(BP54="","",(IF(BP54&gt;1,$BH$2,"")))</f>
        <v/>
      </c>
      <c r="D54" s="750" t="str">
        <f>'Vážní listina'!HK53</f>
        <v/>
      </c>
      <c r="E54" s="752" t="str">
        <f>'Vážní listina'!HL53</f>
        <v/>
      </c>
      <c r="F54" s="26"/>
      <c r="G54" s="32"/>
      <c r="H54" s="721" t="str">
        <f>IF(H5="","",'Vážní listina'!HM53)</f>
        <v/>
      </c>
      <c r="I54" s="26"/>
      <c r="J54" s="32"/>
      <c r="K54" s="721" t="str">
        <f>IF(K5="","",DV54)</f>
        <v/>
      </c>
      <c r="L54" s="26"/>
      <c r="M54" s="32"/>
      <c r="N54" s="721" t="str">
        <f>IF(N5="","",FZ54)</f>
        <v/>
      </c>
      <c r="O54" s="26"/>
      <c r="P54" s="32"/>
      <c r="Q54" s="721" t="str">
        <f>IF(Q5="","",IP54)</f>
        <v/>
      </c>
      <c r="R54" s="26"/>
      <c r="S54" s="32"/>
      <c r="T54" s="721" t="str">
        <f>IF(T5="","",KF54)</f>
        <v/>
      </c>
      <c r="U54" s="26"/>
      <c r="V54" s="32"/>
      <c r="W54" s="729" t="str">
        <f>IF(W5="","",LW54)</f>
        <v/>
      </c>
      <c r="X54" s="26"/>
      <c r="Y54" s="32"/>
      <c r="Z54" s="731" t="str">
        <f>IF(A54="","",(F54+I54+L54+O54+R54+U54+X54))</f>
        <v/>
      </c>
      <c r="AA54" s="733" t="str">
        <f>IF(A54="","",(F55+I55+L55+O55+R55+U55+X55))</f>
        <v/>
      </c>
      <c r="AB54" s="738" t="str">
        <f>IF(A54="","",(G54+J54+M54+P54+S54+V54+Y54))</f>
        <v/>
      </c>
      <c r="AC54" s="740" t="str">
        <f>HF126</f>
        <v/>
      </c>
      <c r="AD54" s="722"/>
      <c r="AE54" s="722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16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19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3">
      <c r="A55" s="765"/>
      <c r="B55" s="766"/>
      <c r="C55" s="745"/>
      <c r="D55" s="751"/>
      <c r="E55" s="728"/>
      <c r="F55" s="29"/>
      <c r="G55" s="30"/>
      <c r="H55" s="721"/>
      <c r="I55" s="29"/>
      <c r="J55" s="30"/>
      <c r="K55" s="721"/>
      <c r="L55" s="29"/>
      <c r="M55" s="30"/>
      <c r="N55" s="721"/>
      <c r="O55" s="29"/>
      <c r="P55" s="30"/>
      <c r="Q55" s="721"/>
      <c r="R55" s="29"/>
      <c r="S55" s="30"/>
      <c r="T55" s="721"/>
      <c r="U55" s="29"/>
      <c r="V55" s="30"/>
      <c r="W55" s="729"/>
      <c r="X55" s="29"/>
      <c r="Y55" s="30"/>
      <c r="Z55" s="731"/>
      <c r="AA55" s="733"/>
      <c r="AB55" s="738"/>
      <c r="AC55" s="740"/>
      <c r="AD55" s="722"/>
      <c r="AE55" s="722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999</v>
      </c>
      <c r="CT55" s="235" t="str">
        <f t="shared" si="193"/>
        <v/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20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3">
      <c r="A56" s="765" t="str">
        <f>'Vážní listina'!HQ55</f>
        <v/>
      </c>
      <c r="B56" s="766" t="str">
        <f>'Vážní listina'!HR55</f>
        <v/>
      </c>
      <c r="C56" s="745" t="str">
        <f>IF(BP56="","",(IF(BP56&gt;1,$BH$2,"")))</f>
        <v/>
      </c>
      <c r="D56" s="750" t="str">
        <f>'Vážní listina'!HK55</f>
        <v/>
      </c>
      <c r="E56" s="752" t="str">
        <f>'Vážní listina'!HL55</f>
        <v/>
      </c>
      <c r="F56" s="26"/>
      <c r="G56" s="33"/>
      <c r="H56" s="752" t="str">
        <f>IF(H5="","",'Vážní listina'!HM55)</f>
        <v/>
      </c>
      <c r="I56" s="26"/>
      <c r="J56" s="33"/>
      <c r="K56" s="721" t="str">
        <f>IF(K5="","",DV56)</f>
        <v/>
      </c>
      <c r="L56" s="26"/>
      <c r="M56" s="33"/>
      <c r="N56" s="721" t="str">
        <f>IF(N5="","",FZ56)</f>
        <v/>
      </c>
      <c r="O56" s="26"/>
      <c r="P56" s="33"/>
      <c r="Q56" s="721" t="str">
        <f>IF(Q5="","",IP56)</f>
        <v/>
      </c>
      <c r="R56" s="26"/>
      <c r="S56" s="33"/>
      <c r="T56" s="721" t="str">
        <f>IF(T5="","",KF56)</f>
        <v/>
      </c>
      <c r="U56" s="26"/>
      <c r="V56" s="33"/>
      <c r="W56" s="729" t="str">
        <f>IF(W5="","",LW56)</f>
        <v/>
      </c>
      <c r="X56" s="26"/>
      <c r="Y56" s="33"/>
      <c r="Z56" s="731" t="str">
        <f>IF(A56="","",(F56+I56+L56+O56+R56+U56+X56))</f>
        <v/>
      </c>
      <c r="AA56" s="733" t="str">
        <f>IF(A56="","",(F57+I57+L57+O57+R57+U57+X57))</f>
        <v/>
      </c>
      <c r="AB56" s="738" t="str">
        <f>IF(A56="","",(G56+J56+M56+P56+S56+V56+Y56))</f>
        <v/>
      </c>
      <c r="AC56" s="740" t="str">
        <f>HF128</f>
        <v/>
      </c>
      <c r="AD56" s="736"/>
      <c r="AE56" s="722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3">
      <c r="A57" s="765"/>
      <c r="B57" s="766"/>
      <c r="C57" s="745"/>
      <c r="D57" s="751"/>
      <c r="E57" s="728"/>
      <c r="F57" s="29"/>
      <c r="G57" s="30"/>
      <c r="H57" s="728"/>
      <c r="I57" s="29"/>
      <c r="J57" s="30"/>
      <c r="K57" s="721"/>
      <c r="L57" s="29"/>
      <c r="M57" s="30"/>
      <c r="N57" s="721"/>
      <c r="O57" s="29"/>
      <c r="P57" s="30"/>
      <c r="Q57" s="721"/>
      <c r="R57" s="29"/>
      <c r="S57" s="30"/>
      <c r="T57" s="721"/>
      <c r="U57" s="29"/>
      <c r="V57" s="30"/>
      <c r="W57" s="729"/>
      <c r="X57" s="29"/>
      <c r="Y57" s="30"/>
      <c r="Z57" s="731"/>
      <c r="AA57" s="733"/>
      <c r="AB57" s="738"/>
      <c r="AC57" s="740"/>
      <c r="AD57" s="737"/>
      <c r="AE57" s="722"/>
      <c r="AG57" s="597"/>
      <c r="AH57" s="598"/>
      <c r="AI57" s="761" t="str">
        <f>[1]List1!$D$54</f>
        <v>Bodovací lístek</v>
      </c>
      <c r="AJ57" s="761"/>
      <c r="AK57" s="761"/>
      <c r="AL57" s="761"/>
      <c r="AM57" s="761"/>
      <c r="AN57" s="761"/>
      <c r="AO57" s="761"/>
      <c r="AP57" s="761"/>
      <c r="AQ57" s="761"/>
      <c r="AR57" s="761"/>
      <c r="AS57" s="761"/>
      <c r="AT57" s="761"/>
      <c r="AU57" s="761"/>
      <c r="AV57" s="761"/>
      <c r="AW57" s="761"/>
      <c r="AX57" s="761"/>
      <c r="AY57" s="761"/>
      <c r="AZ57" s="761"/>
      <c r="BA57" s="761"/>
      <c r="BB57" s="761"/>
      <c r="BC57" s="761"/>
      <c r="BD57" s="761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3">
      <c r="A58" s="765" t="str">
        <f>'Vážní listina'!HQ57</f>
        <v/>
      </c>
      <c r="B58" s="766" t="str">
        <f>'Vážní listina'!HR57</f>
        <v/>
      </c>
      <c r="C58" s="745" t="str">
        <f>IF(BP58="","",(IF(BP58&gt;1,$BH$2,"")))</f>
        <v/>
      </c>
      <c r="D58" s="750" t="str">
        <f>'Vážní listina'!HK57</f>
        <v/>
      </c>
      <c r="E58" s="752" t="str">
        <f>'Vážní listina'!HL57</f>
        <v/>
      </c>
      <c r="F58" s="26"/>
      <c r="G58" s="33"/>
      <c r="H58" s="721" t="str">
        <f>IF(H5="","",'Vážní listina'!HM57)</f>
        <v/>
      </c>
      <c r="I58" s="26"/>
      <c r="J58" s="33"/>
      <c r="K58" s="721" t="str">
        <f>IF(K5="","",DV58)</f>
        <v/>
      </c>
      <c r="L58" s="26"/>
      <c r="M58" s="33"/>
      <c r="N58" s="721" t="str">
        <f>IF(N5="","",FZ58)</f>
        <v/>
      </c>
      <c r="O58" s="26"/>
      <c r="P58" s="33"/>
      <c r="Q58" s="721" t="str">
        <f>IF(Q5="","",IP58)</f>
        <v/>
      </c>
      <c r="R58" s="26"/>
      <c r="S58" s="33"/>
      <c r="T58" s="721" t="str">
        <f>IF(T5="","",KF58)</f>
        <v/>
      </c>
      <c r="U58" s="26"/>
      <c r="V58" s="33"/>
      <c r="W58" s="729" t="str">
        <f>IF(W5="","",LW58)</f>
        <v/>
      </c>
      <c r="X58" s="26"/>
      <c r="Y58" s="33"/>
      <c r="Z58" s="731" t="str">
        <f>IF(A58="","",(F58+I58+L58+O58+R58+U58+X58))</f>
        <v/>
      </c>
      <c r="AA58" s="733" t="str">
        <f>IF(A58="","",(F59+I59+L59+O59+R59+U59+X59))</f>
        <v/>
      </c>
      <c r="AB58" s="738" t="str">
        <f>IF(A58="","",(G58+J58+M58+P58+S58+V58+Y58))</f>
        <v/>
      </c>
      <c r="AC58" s="740" t="str">
        <f>HF130</f>
        <v/>
      </c>
      <c r="AD58" s="722"/>
      <c r="AE58" s="722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3">
      <c r="A59" s="765"/>
      <c r="B59" s="766"/>
      <c r="C59" s="745"/>
      <c r="D59" s="751"/>
      <c r="E59" s="728"/>
      <c r="F59" s="29"/>
      <c r="G59" s="30"/>
      <c r="H59" s="721"/>
      <c r="I59" s="29"/>
      <c r="J59" s="30"/>
      <c r="K59" s="721"/>
      <c r="L59" s="29"/>
      <c r="M59" s="30"/>
      <c r="N59" s="721"/>
      <c r="O59" s="29"/>
      <c r="P59" s="30"/>
      <c r="Q59" s="721"/>
      <c r="R59" s="29"/>
      <c r="S59" s="30"/>
      <c r="T59" s="721"/>
      <c r="U59" s="29"/>
      <c r="V59" s="30"/>
      <c r="W59" s="729"/>
      <c r="X59" s="29"/>
      <c r="Y59" s="30"/>
      <c r="Z59" s="731"/>
      <c r="AA59" s="733"/>
      <c r="AB59" s="738"/>
      <c r="AC59" s="740"/>
      <c r="AD59" s="722"/>
      <c r="AE59" s="722"/>
      <c r="AG59" s="599"/>
      <c r="AH59" s="598"/>
      <c r="AI59" s="697" t="str">
        <f>AH38</f>
        <v>3. kolo</v>
      </c>
      <c r="AJ59" s="697"/>
      <c r="AK59" s="598"/>
      <c r="AL59" s="598"/>
      <c r="AM59" s="598"/>
      <c r="AN59" s="697" t="str">
        <f>AM38</f>
        <v>4. kolo</v>
      </c>
      <c r="AO59" s="697"/>
      <c r="AP59" s="598"/>
      <c r="AQ59" s="598"/>
      <c r="AR59" s="598"/>
      <c r="AS59" s="697" t="str">
        <f>AR38</f>
        <v>5. kolo</v>
      </c>
      <c r="AT59" s="697"/>
      <c r="AU59" s="598"/>
      <c r="AV59" s="598"/>
      <c r="AW59" s="598"/>
      <c r="AX59" s="697" t="str">
        <f>AW38</f>
        <v>6. kolo</v>
      </c>
      <c r="AY59" s="697"/>
      <c r="AZ59" s="598"/>
      <c r="BA59" s="598"/>
      <c r="BB59" s="598"/>
      <c r="BC59" s="697" t="str">
        <f>BB38</f>
        <v>7. kolo</v>
      </c>
      <c r="BD59" s="697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3">
      <c r="A60" s="765" t="str">
        <f>'Vážní listina'!HQ59</f>
        <v/>
      </c>
      <c r="B60" s="766" t="str">
        <f>'Vážní listina'!HR59</f>
        <v/>
      </c>
      <c r="C60" s="745" t="str">
        <f>IF(BP60="","",(IF(BP60&gt;1,$BH$2,"")))</f>
        <v/>
      </c>
      <c r="D60" s="750" t="str">
        <f>'Vážní listina'!HK59</f>
        <v/>
      </c>
      <c r="E60" s="752" t="str">
        <f>'Vážní listina'!HL59</f>
        <v/>
      </c>
      <c r="F60" s="26"/>
      <c r="G60" s="33"/>
      <c r="H60" s="752" t="str">
        <f>IF(H5="","",'Vážní listina'!HM59)</f>
        <v/>
      </c>
      <c r="I60" s="26"/>
      <c r="J60" s="33"/>
      <c r="K60" s="721" t="str">
        <f>IF(K5="","",DV60)</f>
        <v/>
      </c>
      <c r="L60" s="26"/>
      <c r="M60" s="33"/>
      <c r="N60" s="721" t="str">
        <f>IF(N5="","",FZ60)</f>
        <v/>
      </c>
      <c r="O60" s="26"/>
      <c r="P60" s="33"/>
      <c r="Q60" s="721" t="str">
        <f>IF(Q5="","",IP60)</f>
        <v/>
      </c>
      <c r="R60" s="26"/>
      <c r="S60" s="33"/>
      <c r="T60" s="721" t="str">
        <f>IF(T5="","",KF60)</f>
        <v/>
      </c>
      <c r="U60" s="26"/>
      <c r="V60" s="33"/>
      <c r="W60" s="729" t="str">
        <f>IF(W5="","",LW60)</f>
        <v/>
      </c>
      <c r="X60" s="26"/>
      <c r="Y60" s="33"/>
      <c r="Z60" s="731" t="str">
        <f>IF(A60="","",(F60+I60+L60+O60+R60+U60+X60))</f>
        <v/>
      </c>
      <c r="AA60" s="733" t="str">
        <f>IF(A60="","",(F61+I61+L61+O61+R61+U61+X61))</f>
        <v/>
      </c>
      <c r="AB60" s="738" t="str">
        <f>IF(A60="","",(G60+J60+M60+P60+S60+V60+Y60))</f>
        <v/>
      </c>
      <c r="AC60" s="740" t="str">
        <f>HF132</f>
        <v/>
      </c>
      <c r="AD60" s="736"/>
      <c r="AE60" s="722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3">
      <c r="A61" s="765"/>
      <c r="B61" s="766"/>
      <c r="C61" s="745"/>
      <c r="D61" s="751"/>
      <c r="E61" s="728"/>
      <c r="F61" s="29"/>
      <c r="G61" s="30"/>
      <c r="H61" s="728"/>
      <c r="I61" s="29"/>
      <c r="J61" s="30"/>
      <c r="K61" s="721"/>
      <c r="L61" s="29"/>
      <c r="M61" s="30"/>
      <c r="N61" s="721"/>
      <c r="O61" s="29"/>
      <c r="P61" s="30"/>
      <c r="Q61" s="721"/>
      <c r="R61" s="29"/>
      <c r="S61" s="30"/>
      <c r="T61" s="721"/>
      <c r="U61" s="29"/>
      <c r="V61" s="30"/>
      <c r="W61" s="729"/>
      <c r="X61" s="29"/>
      <c r="Y61" s="30"/>
      <c r="Z61" s="731"/>
      <c r="AA61" s="733"/>
      <c r="AB61" s="738"/>
      <c r="AC61" s="740"/>
      <c r="AD61" s="737"/>
      <c r="AE61" s="722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4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3">
      <c r="A62" s="765" t="str">
        <f>'Vážní listina'!HQ61</f>
        <v/>
      </c>
      <c r="B62" s="766" t="str">
        <f>'Vážní listina'!HR61</f>
        <v/>
      </c>
      <c r="C62" s="745" t="str">
        <f>IF(BP62="","",(IF(BP62&gt;1,$BH$2,"")))</f>
        <v/>
      </c>
      <c r="D62" s="750" t="str">
        <f>'Vážní listina'!HK61</f>
        <v/>
      </c>
      <c r="E62" s="752" t="str">
        <f>'Vážní listina'!HL61</f>
        <v/>
      </c>
      <c r="F62" s="26"/>
      <c r="G62" s="32"/>
      <c r="H62" s="721" t="str">
        <f>IF(H5="","",'Vážní listina'!HM61)</f>
        <v/>
      </c>
      <c r="I62" s="26"/>
      <c r="J62" s="32"/>
      <c r="K62" s="721" t="str">
        <f>IF(K5="","",DV62)</f>
        <v/>
      </c>
      <c r="L62" s="26"/>
      <c r="M62" s="32"/>
      <c r="N62" s="721" t="str">
        <f>IF(N5="","",FZ62)</f>
        <v/>
      </c>
      <c r="O62" s="26"/>
      <c r="P62" s="32"/>
      <c r="Q62" s="721" t="str">
        <f>IF(Q5="","",IP62)</f>
        <v/>
      </c>
      <c r="R62" s="26"/>
      <c r="S62" s="32"/>
      <c r="T62" s="721" t="str">
        <f>IF(T5="","",KF62)</f>
        <v/>
      </c>
      <c r="U62" s="26"/>
      <c r="V62" s="32"/>
      <c r="W62" s="729" t="str">
        <f>IF(W5="","",LW62)</f>
        <v/>
      </c>
      <c r="X62" s="26"/>
      <c r="Y62" s="32"/>
      <c r="Z62" s="731" t="str">
        <f>IF(A62="","",(F62+I62+L62+O62+R62+U62+X62))</f>
        <v/>
      </c>
      <c r="AA62" s="733" t="str">
        <f>IF(A62="","",(F63+I63+L63+O63+R63+U63+X63))</f>
        <v/>
      </c>
      <c r="AB62" s="738" t="str">
        <f>IF(A62="","",(G62+J62+M62+P62+S62+V62+Y62))</f>
        <v/>
      </c>
      <c r="AC62" s="740" t="str">
        <f>HF134</f>
        <v/>
      </c>
      <c r="AD62" s="722"/>
      <c r="AE62" s="722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3</v>
      </c>
      <c r="AJ62" s="598" t="str">
        <f t="shared" si="367"/>
        <v>VL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3">
      <c r="A63" s="765"/>
      <c r="B63" s="766"/>
      <c r="C63" s="745"/>
      <c r="D63" s="751"/>
      <c r="E63" s="728"/>
      <c r="F63" s="29"/>
      <c r="G63" s="30"/>
      <c r="H63" s="721"/>
      <c r="I63" s="29"/>
      <c r="J63" s="30"/>
      <c r="K63" s="721"/>
      <c r="L63" s="29"/>
      <c r="M63" s="30"/>
      <c r="N63" s="721"/>
      <c r="O63" s="29"/>
      <c r="P63" s="30"/>
      <c r="Q63" s="721"/>
      <c r="R63" s="29"/>
      <c r="S63" s="30"/>
      <c r="T63" s="721"/>
      <c r="U63" s="29"/>
      <c r="V63" s="30"/>
      <c r="W63" s="729"/>
      <c r="X63" s="29"/>
      <c r="Y63" s="30"/>
      <c r="Z63" s="731"/>
      <c r="AA63" s="733"/>
      <c r="AB63" s="738"/>
      <c r="AC63" s="740"/>
      <c r="AD63" s="722"/>
      <c r="AE63" s="722"/>
      <c r="AG63" s="658">
        <v>3</v>
      </c>
      <c r="AH63" s="598"/>
      <c r="AI63" s="598">
        <f t="shared" si="367"/>
        <v>6</v>
      </c>
      <c r="AJ63" s="598">
        <f t="shared" si="367"/>
        <v>7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3">
      <c r="A64" s="765" t="str">
        <f>'Vážní listina'!HQ63</f>
        <v/>
      </c>
      <c r="B64" s="766" t="str">
        <f>'Vážní listina'!HR63</f>
        <v/>
      </c>
      <c r="C64" s="745" t="str">
        <f>IF(BP64="","",(IF(BP64&gt;1,$BH$2,"")))</f>
        <v/>
      </c>
      <c r="D64" s="750" t="str">
        <f>'Vážní listina'!HK63</f>
        <v/>
      </c>
      <c r="E64" s="752" t="str">
        <f>'Vážní listina'!HL63</f>
        <v/>
      </c>
      <c r="F64" s="26"/>
      <c r="G64" s="33"/>
      <c r="H64" s="752" t="str">
        <f>IF(H5="","",'Vážní listina'!HM63)</f>
        <v/>
      </c>
      <c r="I64" s="26"/>
      <c r="J64" s="33"/>
      <c r="K64" s="721" t="str">
        <f>IF(K5="","",DV64)</f>
        <v/>
      </c>
      <c r="L64" s="26"/>
      <c r="M64" s="33"/>
      <c r="N64" s="721" t="str">
        <f>IF(N5="","",FZ64)</f>
        <v/>
      </c>
      <c r="O64" s="26"/>
      <c r="P64" s="33"/>
      <c r="Q64" s="721" t="str">
        <f>IF(Q5="","",IP64)</f>
        <v/>
      </c>
      <c r="R64" s="26"/>
      <c r="S64" s="33"/>
      <c r="T64" s="721" t="str">
        <f>IF(T5="","",KF64)</f>
        <v/>
      </c>
      <c r="U64" s="26"/>
      <c r="V64" s="33"/>
      <c r="W64" s="729" t="str">
        <f>IF(W5="","",LW64)</f>
        <v/>
      </c>
      <c r="X64" s="26"/>
      <c r="Y64" s="33"/>
      <c r="Z64" s="731" t="str">
        <f>IF(A64="","",(F64+I64+L64+O64+R64+U64+X64))</f>
        <v/>
      </c>
      <c r="AA64" s="733" t="str">
        <f>IF(A64="","",(F65+I65+L65+O65+R65+U65+X65))</f>
        <v/>
      </c>
      <c r="AB64" s="738" t="str">
        <f>IF(A64="","",(G64+J64+M64+P64+S64+V64+Y64))</f>
        <v/>
      </c>
      <c r="AC64" s="740" t="str">
        <f>HF136</f>
        <v/>
      </c>
      <c r="AD64" s="736"/>
      <c r="AE64" s="722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3">
      <c r="A65" s="765"/>
      <c r="B65" s="766"/>
      <c r="C65" s="745"/>
      <c r="D65" s="751"/>
      <c r="E65" s="728"/>
      <c r="F65" s="29"/>
      <c r="G65" s="30"/>
      <c r="H65" s="728"/>
      <c r="I65" s="29"/>
      <c r="J65" s="30"/>
      <c r="K65" s="721"/>
      <c r="L65" s="29"/>
      <c r="M65" s="30"/>
      <c r="N65" s="721"/>
      <c r="O65" s="29"/>
      <c r="P65" s="30"/>
      <c r="Q65" s="721"/>
      <c r="R65" s="29"/>
      <c r="S65" s="30"/>
      <c r="T65" s="721"/>
      <c r="U65" s="29"/>
      <c r="V65" s="30"/>
      <c r="W65" s="729"/>
      <c r="X65" s="29"/>
      <c r="Y65" s="30"/>
      <c r="Z65" s="731"/>
      <c r="AA65" s="733"/>
      <c r="AB65" s="738"/>
      <c r="AC65" s="740"/>
      <c r="AD65" s="737"/>
      <c r="AE65" s="722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3">
      <c r="A66" s="765" t="str">
        <f>'Vážní listina'!HQ65</f>
        <v/>
      </c>
      <c r="B66" s="766" t="str">
        <f>'Vážní listina'!HR65</f>
        <v/>
      </c>
      <c r="C66" s="745" t="str">
        <f>IF(BP66="","",(IF(BP66&gt;1,$BH$2,"")))</f>
        <v/>
      </c>
      <c r="D66" s="750" t="str">
        <f>'Vážní listina'!HK65</f>
        <v/>
      </c>
      <c r="E66" s="752" t="str">
        <f>'Vážní listina'!HL65</f>
        <v/>
      </c>
      <c r="F66" s="26"/>
      <c r="G66" s="33"/>
      <c r="H66" s="721" t="str">
        <f>IF(H5="","",'Vážní listina'!HM65)</f>
        <v/>
      </c>
      <c r="I66" s="26"/>
      <c r="J66" s="33"/>
      <c r="K66" s="721" t="str">
        <f>IF(K5="","",DV66)</f>
        <v/>
      </c>
      <c r="L66" s="26"/>
      <c r="M66" s="33"/>
      <c r="N66" s="721" t="str">
        <f>IF(N5="","",FZ66)</f>
        <v/>
      </c>
      <c r="O66" s="26"/>
      <c r="P66" s="33"/>
      <c r="Q66" s="721" t="str">
        <f>IF(Q5="","",IP66)</f>
        <v/>
      </c>
      <c r="R66" s="26"/>
      <c r="S66" s="33"/>
      <c r="T66" s="721" t="str">
        <f>IF(T5="","",KF66)</f>
        <v/>
      </c>
      <c r="U66" s="26"/>
      <c r="V66" s="33"/>
      <c r="W66" s="729" t="str">
        <f>IF(W5="","",LW66)</f>
        <v/>
      </c>
      <c r="X66" s="26"/>
      <c r="Y66" s="33"/>
      <c r="Z66" s="731" t="str">
        <f>IF(A66="","",(F66+I66+L66+O66+R66+U66+X66))</f>
        <v/>
      </c>
      <c r="AA66" s="733" t="str">
        <f>IF(A66="","",(F67+I67+L67+O67+R67+U67+X67))</f>
        <v/>
      </c>
      <c r="AB66" s="738" t="str">
        <f>IF(A66="","",(G66+J66+M66+P66+S66+V66+Y66))</f>
        <v/>
      </c>
      <c r="AC66" s="740" t="str">
        <f>HF138</f>
        <v/>
      </c>
      <c r="AD66" s="722"/>
      <c r="AE66" s="722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3">
      <c r="A67" s="765"/>
      <c r="B67" s="766"/>
      <c r="C67" s="745"/>
      <c r="D67" s="751"/>
      <c r="E67" s="728"/>
      <c r="F67" s="29"/>
      <c r="G67" s="30"/>
      <c r="H67" s="721"/>
      <c r="I67" s="29"/>
      <c r="J67" s="30"/>
      <c r="K67" s="721"/>
      <c r="L67" s="29"/>
      <c r="M67" s="30"/>
      <c r="N67" s="721"/>
      <c r="O67" s="29"/>
      <c r="P67" s="30"/>
      <c r="Q67" s="721"/>
      <c r="R67" s="29"/>
      <c r="S67" s="30"/>
      <c r="T67" s="721"/>
      <c r="U67" s="29"/>
      <c r="V67" s="30"/>
      <c r="W67" s="729"/>
      <c r="X67" s="29"/>
      <c r="Y67" s="30"/>
      <c r="Z67" s="731"/>
      <c r="AA67" s="733"/>
      <c r="AB67" s="738"/>
      <c r="AC67" s="740"/>
      <c r="AD67" s="722"/>
      <c r="AE67" s="722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3">
      <c r="A68" s="765" t="str">
        <f>'Vážní listina'!HQ67</f>
        <v/>
      </c>
      <c r="B68" s="766" t="str">
        <f>'Vážní listina'!HR67</f>
        <v/>
      </c>
      <c r="C68" s="745" t="str">
        <f>IF(BP68="","",(IF(BP68&gt;1,$BH$2,"")))</f>
        <v/>
      </c>
      <c r="D68" s="750" t="str">
        <f>'Vážní listina'!HK67</f>
        <v/>
      </c>
      <c r="E68" s="752" t="str">
        <f>'Vážní listina'!HL67</f>
        <v/>
      </c>
      <c r="F68" s="26"/>
      <c r="G68" s="33"/>
      <c r="H68" s="752" t="str">
        <f>IF(H5="","",'Vážní listina'!HM67)</f>
        <v/>
      </c>
      <c r="I68" s="26"/>
      <c r="J68" s="33"/>
      <c r="K68" s="721" t="str">
        <f>IF(K5="","",DV68)</f>
        <v/>
      </c>
      <c r="L68" s="26"/>
      <c r="M68" s="33"/>
      <c r="N68" s="721" t="str">
        <f>IF(N5="","",FZ68)</f>
        <v/>
      </c>
      <c r="O68" s="26"/>
      <c r="P68" s="33"/>
      <c r="Q68" s="721" t="str">
        <f>IF(Q5="","",IP68)</f>
        <v/>
      </c>
      <c r="R68" s="26"/>
      <c r="S68" s="33"/>
      <c r="T68" s="721" t="str">
        <f>IF(T5="","",KF68)</f>
        <v/>
      </c>
      <c r="U68" s="26"/>
      <c r="V68" s="33"/>
      <c r="W68" s="729" t="str">
        <f>IF(W5="","",LW68)</f>
        <v/>
      </c>
      <c r="X68" s="26"/>
      <c r="Y68" s="33"/>
      <c r="Z68" s="731" t="str">
        <f>IF(A68="","",(F68+I68+L68+O68+R68+U68+X68))</f>
        <v/>
      </c>
      <c r="AA68" s="733" t="str">
        <f>IF(A68="","",(F69+I69+L69+O69+R69+U69+X69))</f>
        <v/>
      </c>
      <c r="AB68" s="738" t="str">
        <f>IF(A68="","",(G68+J68+M68+P68+S68+V68+Y68))</f>
        <v/>
      </c>
      <c r="AC68" s="740" t="str">
        <f>HF140</f>
        <v/>
      </c>
      <c r="AD68" s="736"/>
      <c r="AE68" s="722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3">
      <c r="A69" s="765"/>
      <c r="B69" s="766"/>
      <c r="C69" s="745"/>
      <c r="D69" s="751"/>
      <c r="E69" s="728"/>
      <c r="F69" s="29"/>
      <c r="G69" s="30"/>
      <c r="H69" s="728"/>
      <c r="I69" s="29"/>
      <c r="J69" s="30"/>
      <c r="K69" s="721"/>
      <c r="L69" s="29"/>
      <c r="M69" s="30"/>
      <c r="N69" s="721"/>
      <c r="O69" s="29"/>
      <c r="P69" s="30"/>
      <c r="Q69" s="721"/>
      <c r="R69" s="29"/>
      <c r="S69" s="30"/>
      <c r="T69" s="721"/>
      <c r="U69" s="29"/>
      <c r="V69" s="30"/>
      <c r="W69" s="729"/>
      <c r="X69" s="29"/>
      <c r="Y69" s="30"/>
      <c r="Z69" s="731"/>
      <c r="AA69" s="733"/>
      <c r="AB69" s="738"/>
      <c r="AC69" s="740"/>
      <c r="AD69" s="737"/>
      <c r="AE69" s="722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3">
      <c r="A70" s="765" t="str">
        <f>'Vážní listina'!HQ69</f>
        <v/>
      </c>
      <c r="B70" s="766" t="str">
        <f>'Vážní listina'!HR69</f>
        <v/>
      </c>
      <c r="C70" s="745" t="str">
        <f>IF(BP70="","",(IF(BP70&gt;1,$BH$2,"")))</f>
        <v/>
      </c>
      <c r="D70" s="750" t="str">
        <f>'Vážní listina'!HK69</f>
        <v/>
      </c>
      <c r="E70" s="752" t="str">
        <f>'Vážní listina'!HL69</f>
        <v/>
      </c>
      <c r="F70" s="31"/>
      <c r="G70" s="32"/>
      <c r="H70" s="752" t="str">
        <f>IF(H5="","",'Vážní listina'!HM69)</f>
        <v/>
      </c>
      <c r="I70" s="31"/>
      <c r="J70" s="32"/>
      <c r="K70" s="752" t="str">
        <f>IF(K5="","",DV70)</f>
        <v/>
      </c>
      <c r="L70" s="31"/>
      <c r="M70" s="32"/>
      <c r="N70" s="721" t="str">
        <f>IF(N5="","",FZ70)</f>
        <v/>
      </c>
      <c r="O70" s="31"/>
      <c r="P70" s="32"/>
      <c r="Q70" s="752" t="str">
        <f>IF(Q5="","",IP70)</f>
        <v/>
      </c>
      <c r="R70" s="31"/>
      <c r="S70" s="32"/>
      <c r="T70" s="752" t="str">
        <f>IF(T5="","",KF70)</f>
        <v/>
      </c>
      <c r="U70" s="31"/>
      <c r="V70" s="32"/>
      <c r="W70" s="729" t="str">
        <f>IF(W5="","",LW70)</f>
        <v/>
      </c>
      <c r="X70" s="31"/>
      <c r="Y70" s="32"/>
      <c r="Z70" s="731" t="str">
        <f>IF(A70="","",(F70+I70+L70+O70+R70+U70+X70))</f>
        <v/>
      </c>
      <c r="AA70" s="733" t="str">
        <f>IF(A70="","",(F71+I71+L71+O71+R71+U71+X71))</f>
        <v/>
      </c>
      <c r="AB70" s="738" t="str">
        <f>IF(A70="","",(G70+J70+M70+P70+S70+V70+Y70))</f>
        <v/>
      </c>
      <c r="AC70" s="740" t="str">
        <f>HF142</f>
        <v/>
      </c>
      <c r="AD70" s="736"/>
      <c r="AE70" s="722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3">
      <c r="A71" s="767"/>
      <c r="B71" s="768"/>
      <c r="C71" s="769"/>
      <c r="D71" s="770"/>
      <c r="E71" s="763"/>
      <c r="F71" s="34"/>
      <c r="G71" s="35"/>
      <c r="H71" s="763"/>
      <c r="I71" s="34"/>
      <c r="J71" s="35"/>
      <c r="K71" s="763"/>
      <c r="L71" s="34"/>
      <c r="M71" s="35"/>
      <c r="N71" s="721"/>
      <c r="O71" s="34"/>
      <c r="P71" s="35"/>
      <c r="Q71" s="763"/>
      <c r="R71" s="34"/>
      <c r="S71" s="35"/>
      <c r="T71" s="763"/>
      <c r="U71" s="34"/>
      <c r="V71" s="35"/>
      <c r="W71" s="764"/>
      <c r="X71" s="34"/>
      <c r="Y71" s="35"/>
      <c r="Z71" s="731"/>
      <c r="AA71" s="733"/>
      <c r="AB71" s="738"/>
      <c r="AC71" s="762"/>
      <c r="AD71" s="759"/>
      <c r="AE71" s="722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3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8" hidden="1" thickBot="1" x14ac:dyDescent="0.3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4" thickTop="1" thickBot="1" x14ac:dyDescent="0.3">
      <c r="B74" t="str">
        <f>[1]List1!$A$173</f>
        <v>Vysvětlení</v>
      </c>
      <c r="E74" s="785">
        <v>2</v>
      </c>
      <c r="F74" s="199">
        <v>3</v>
      </c>
      <c r="G74" s="200">
        <v>1</v>
      </c>
      <c r="Z74" s="731">
        <v>6</v>
      </c>
      <c r="AA74" s="787">
        <v>18</v>
      </c>
      <c r="AB74" s="788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798" t="s">
        <v>44</v>
      </c>
      <c r="GN74" s="388"/>
      <c r="GO74" s="370"/>
      <c r="GP74" s="370"/>
      <c r="GQ74" s="371"/>
    </row>
    <row r="75" spans="1:336" ht="13.8" thickBot="1" x14ac:dyDescent="0.3">
      <c r="E75" s="786"/>
      <c r="F75" s="201">
        <v>10</v>
      </c>
      <c r="G75" s="202"/>
      <c r="Z75" s="731"/>
      <c r="AA75" s="787"/>
      <c r="AB75" s="788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798" t="s">
        <v>39</v>
      </c>
      <c r="DW75" s="798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795" t="str">
        <f>[1]List1!$D$54</f>
        <v>Bodovací lístek</v>
      </c>
      <c r="GO75" s="685"/>
      <c r="GP75" s="685"/>
      <c r="GQ75" s="796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5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88" t="str">
        <f>[1]List1!$A$12</f>
        <v>1. kolo</v>
      </c>
      <c r="BZ76" s="689"/>
      <c r="CA76" s="690"/>
      <c r="CB76" s="688" t="str">
        <f>[1]List1!$A$13</f>
        <v>2. kolo</v>
      </c>
      <c r="CC76" s="689"/>
      <c r="CD76" s="690"/>
      <c r="CE76" s="701" t="str">
        <f>[1]List1!$A$14</f>
        <v>3. kolo</v>
      </c>
      <c r="CF76" s="701"/>
      <c r="CG76" s="701"/>
      <c r="CH76" s="701" t="str">
        <f>[1]List1!$A$15</f>
        <v>4. kolo</v>
      </c>
      <c r="CI76" s="701"/>
      <c r="CJ76" s="701"/>
      <c r="CK76" s="701" t="str">
        <f>[1]List1!$A$16</f>
        <v>5. kolo</v>
      </c>
      <c r="CL76" s="701"/>
      <c r="CM76" s="701"/>
      <c r="CN76" s="701" t="str">
        <f>[1]List1!$B$16</f>
        <v>6. kolo</v>
      </c>
      <c r="CO76" s="701"/>
      <c r="CP76" s="701"/>
      <c r="CQ76" s="701" t="str">
        <f>[1]List1!$B$15</f>
        <v>7. kolo</v>
      </c>
      <c r="CR76" s="701"/>
      <c r="CS76" s="701"/>
      <c r="CT76" s="688" t="str">
        <f>[1]List1!$B$14</f>
        <v>8. kolo</v>
      </c>
      <c r="CU76" s="689"/>
      <c r="CV76" s="690"/>
      <c r="CW76" s="55"/>
      <c r="CX76" s="55"/>
      <c r="CY76" s="742"/>
      <c r="CZ76" s="742"/>
      <c r="DA76" s="742"/>
      <c r="DB76" s="742"/>
      <c r="DC76" s="742"/>
      <c r="DD76" s="742"/>
      <c r="DE76" s="742"/>
      <c r="DF76" s="742"/>
      <c r="DG76" s="742"/>
      <c r="DH76" s="216">
        <v>99</v>
      </c>
      <c r="DL76" s="688" t="str">
        <f>[1]List1!$B$31</f>
        <v>součet</v>
      </c>
      <c r="DM76" s="690"/>
      <c r="DN76" s="360"/>
      <c r="DO76" s="131"/>
      <c r="DR76" s="602"/>
      <c r="DV76" s="798"/>
      <c r="DW76" s="798"/>
      <c r="DX76" s="703">
        <v>10000000000</v>
      </c>
      <c r="DY76" s="703"/>
      <c r="DZ76" s="703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88" t="str">
        <f>[1]List1!$A$12</f>
        <v>1. kolo</v>
      </c>
      <c r="EQ76" s="689"/>
      <c r="ER76" s="690"/>
      <c r="ES76" s="688" t="str">
        <f>[1]List1!$A$13</f>
        <v>2. kolo</v>
      </c>
      <c r="ET76" s="689"/>
      <c r="EU76" s="690"/>
      <c r="EV76" s="688" t="str">
        <f>[1]List1!$A$14</f>
        <v>3. kolo</v>
      </c>
      <c r="EW76" s="689"/>
      <c r="EX76" s="690"/>
      <c r="EY76" s="688" t="str">
        <f>[1]List1!$A$15</f>
        <v>4. kolo</v>
      </c>
      <c r="EZ76" s="689"/>
      <c r="FA76" s="690"/>
      <c r="FB76" s="688" t="str">
        <f>[1]List1!$A$16</f>
        <v>5. kolo</v>
      </c>
      <c r="FC76" s="689"/>
      <c r="FD76" s="690"/>
      <c r="FE76" s="688" t="str">
        <f>[1]List1!$B$16</f>
        <v>6. kolo</v>
      </c>
      <c r="FF76" s="689"/>
      <c r="FG76" s="690"/>
      <c r="FH76" s="688" t="str">
        <f>[1]List1!$B$15</f>
        <v>7. kolo</v>
      </c>
      <c r="FI76" s="689"/>
      <c r="FJ76" s="690"/>
      <c r="FK76" s="688" t="str">
        <f>[1]List1!$B$14</f>
        <v>8. kolo</v>
      </c>
      <c r="FL76" s="689"/>
      <c r="FM76" s="690"/>
      <c r="FT76" s="701" t="str">
        <f>[1]List1!$A$23</f>
        <v>1. repas</v>
      </c>
      <c r="FU76" s="701"/>
      <c r="FV76" s="701"/>
      <c r="FW76" s="701" t="str">
        <f>[1]List1!$A$24</f>
        <v>2. repas</v>
      </c>
      <c r="FX76" s="701"/>
      <c r="FY76" s="701"/>
      <c r="FZ76" s="701" t="str">
        <f>[1]List1!$A$25</f>
        <v>3. repas</v>
      </c>
      <c r="GA76" s="701"/>
      <c r="GB76" s="701"/>
      <c r="GN76" s="389"/>
      <c r="GO76" s="363"/>
      <c r="GP76" s="363"/>
      <c r="GQ76" s="390"/>
    </row>
    <row r="77" spans="1:336" ht="13.5" customHeight="1" thickBot="1" x14ac:dyDescent="0.3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78" t="str">
        <f>D6</f>
        <v>los</v>
      </c>
      <c r="BY77" s="694" t="str">
        <f>[1]List1!$F$15</f>
        <v>soupeř</v>
      </c>
      <c r="BZ77" s="695" t="str">
        <f>[1]List1!$B$28</f>
        <v>body</v>
      </c>
      <c r="CA77" s="696" t="str">
        <f>[1]List1!$B$29</f>
        <v>tech. body</v>
      </c>
      <c r="CB77" s="694" t="str">
        <f>[1]List1!$F$15</f>
        <v>soupeř</v>
      </c>
      <c r="CC77" s="695" t="str">
        <f>[1]List1!$B$28</f>
        <v>body</v>
      </c>
      <c r="CD77" s="696" t="str">
        <f>[1]List1!$B$29</f>
        <v>tech. body</v>
      </c>
      <c r="CE77" s="694" t="str">
        <f>[1]List1!$F$15</f>
        <v>soupeř</v>
      </c>
      <c r="CF77" s="695" t="str">
        <f>[1]List1!$B$28</f>
        <v>body</v>
      </c>
      <c r="CG77" s="696" t="str">
        <f>[1]List1!$B$29</f>
        <v>tech. body</v>
      </c>
      <c r="CH77" s="694" t="str">
        <f>[1]List1!$F$15</f>
        <v>soupeř</v>
      </c>
      <c r="CI77" s="695" t="str">
        <f>[1]List1!$B$28</f>
        <v>body</v>
      </c>
      <c r="CJ77" s="696" t="str">
        <f>[1]List1!$B$29</f>
        <v>tech. body</v>
      </c>
      <c r="CK77" s="694" t="str">
        <f>[1]List1!$F$15</f>
        <v>soupeř</v>
      </c>
      <c r="CL77" s="695" t="str">
        <f>[1]List1!$B$28</f>
        <v>body</v>
      </c>
      <c r="CM77" s="696" t="str">
        <f>[1]List1!$B$29</f>
        <v>tech. body</v>
      </c>
      <c r="CN77" s="694" t="str">
        <f>[1]List1!$F$15</f>
        <v>soupeř</v>
      </c>
      <c r="CO77" s="695" t="str">
        <f>[1]List1!$B$28</f>
        <v>body</v>
      </c>
      <c r="CP77" s="696" t="str">
        <f>[1]List1!$B$29</f>
        <v>tech. body</v>
      </c>
      <c r="CQ77" s="694" t="str">
        <f>[1]List1!$F$15</f>
        <v>soupeř</v>
      </c>
      <c r="CR77" s="695" t="str">
        <f>[1]List1!$B$28</f>
        <v>body</v>
      </c>
      <c r="CS77" s="696" t="str">
        <f>[1]List1!$B$29</f>
        <v>tech. body</v>
      </c>
      <c r="CT77" s="694" t="str">
        <f>[1]List1!$F$15</f>
        <v>soupeř</v>
      </c>
      <c r="CU77" s="695" t="str">
        <f>[1]List1!$B$28</f>
        <v>body</v>
      </c>
      <c r="CV77" s="696" t="str">
        <f>[1]List1!$B$29</f>
        <v>tech. body</v>
      </c>
      <c r="CW77" s="792"/>
      <c r="CX77" s="792"/>
      <c r="CY77" s="792"/>
      <c r="CZ77" s="792"/>
      <c r="DA77" s="792"/>
      <c r="DB77" s="792"/>
      <c r="DC77" s="792"/>
      <c r="DD77" s="792"/>
      <c r="DE77" s="792"/>
      <c r="DF77" s="792"/>
      <c r="DG77" s="792"/>
      <c r="DH77" s="801" t="s">
        <v>68</v>
      </c>
      <c r="DJ77" s="678" t="str">
        <f>BX77</f>
        <v>los</v>
      </c>
      <c r="DL77" s="694" t="str">
        <f>[1]List1!$B$28</f>
        <v>body</v>
      </c>
      <c r="DM77" s="695" t="str">
        <f>[1]List1!$B$29</f>
        <v>tech. body</v>
      </c>
      <c r="DN77" s="706" t="s">
        <v>43</v>
      </c>
      <c r="DO77" s="131"/>
      <c r="DR77" s="798" t="s">
        <v>47</v>
      </c>
      <c r="DS77" s="798" t="str">
        <f>[1]List1!$G$21</f>
        <v>lopatky</v>
      </c>
      <c r="DT77" s="798" t="str">
        <f>[1]List1!$G$22</f>
        <v>tech. přev.</v>
      </c>
      <c r="DU77" s="798" t="str">
        <f>[1]List1!$G$23</f>
        <v>body</v>
      </c>
      <c r="DV77" s="798"/>
      <c r="DW77" s="798"/>
      <c r="EP77" s="694" t="str">
        <f>[1]List1!$F$15</f>
        <v>soupeř</v>
      </c>
      <c r="EQ77" s="695" t="str">
        <f>[1]List1!$B$28</f>
        <v>body</v>
      </c>
      <c r="ER77" s="696" t="str">
        <f>[1]List1!$B$29</f>
        <v>tech. body</v>
      </c>
      <c r="ES77" s="694" t="str">
        <f>[1]List1!$F$15</f>
        <v>soupeř</v>
      </c>
      <c r="ET77" s="695" t="str">
        <f>[1]List1!$B$28</f>
        <v>body</v>
      </c>
      <c r="EU77" s="696" t="str">
        <f>[1]List1!$B$29</f>
        <v>tech. body</v>
      </c>
      <c r="EV77" s="694" t="str">
        <f>[1]List1!$F$15</f>
        <v>soupeř</v>
      </c>
      <c r="EW77" s="695" t="str">
        <f>[1]List1!$B$28</f>
        <v>body</v>
      </c>
      <c r="EX77" s="696" t="str">
        <f>[1]List1!$B$29</f>
        <v>tech. body</v>
      </c>
      <c r="EY77" s="694" t="str">
        <f>[1]List1!$F$15</f>
        <v>soupeř</v>
      </c>
      <c r="EZ77" s="695" t="str">
        <f>[1]List1!$B$28</f>
        <v>body</v>
      </c>
      <c r="FA77" s="696" t="str">
        <f>[1]List1!$B$29</f>
        <v>tech. body</v>
      </c>
      <c r="FB77" s="694" t="str">
        <f>[1]List1!$F$15</f>
        <v>soupeř</v>
      </c>
      <c r="FC77" s="695" t="str">
        <f>[1]List1!$B$28</f>
        <v>body</v>
      </c>
      <c r="FD77" s="696" t="str">
        <f>[1]List1!$B$29</f>
        <v>tech. body</v>
      </c>
      <c r="FE77" s="694" t="str">
        <f>[1]List1!$F$15</f>
        <v>soupeř</v>
      </c>
      <c r="FF77" s="695" t="str">
        <f>[1]List1!$B$28</f>
        <v>body</v>
      </c>
      <c r="FG77" s="696" t="str">
        <f>[1]List1!$B$29</f>
        <v>tech. body</v>
      </c>
      <c r="FH77" s="694" t="str">
        <f>[1]List1!$F$15</f>
        <v>soupeř</v>
      </c>
      <c r="FI77" s="695" t="str">
        <f>[1]List1!$B$28</f>
        <v>body</v>
      </c>
      <c r="FJ77" s="696" t="str">
        <f>[1]List1!$B$29</f>
        <v>tech. body</v>
      </c>
      <c r="FK77" s="694" t="str">
        <f>[1]List1!$F$15</f>
        <v>soupeř</v>
      </c>
      <c r="FL77" s="695" t="str">
        <f>[1]List1!$B$28</f>
        <v>body</v>
      </c>
      <c r="FM77" s="696" t="str">
        <f>[1]List1!$B$29</f>
        <v>tech. body</v>
      </c>
      <c r="FS77" s="718" t="str">
        <f>EL80</f>
        <v>los</v>
      </c>
      <c r="FT77" s="695" t="str">
        <f>[1]List1!$F$15</f>
        <v>soupeř</v>
      </c>
      <c r="FU77" s="695" t="str">
        <f>[1]List1!$B$28</f>
        <v>body</v>
      </c>
      <c r="FV77" s="696" t="str">
        <f>[1]List1!$B$29</f>
        <v>tech. body</v>
      </c>
      <c r="FW77" s="694" t="str">
        <f>[1]List1!$F$15</f>
        <v>soupeř</v>
      </c>
      <c r="FX77" s="695" t="str">
        <f>[1]List1!$B$28</f>
        <v>body</v>
      </c>
      <c r="FY77" s="696" t="str">
        <f>[1]List1!$B$29</f>
        <v>tech. body</v>
      </c>
      <c r="FZ77" s="694" t="str">
        <f>[1]List1!$F$15</f>
        <v>soupeř</v>
      </c>
      <c r="GA77" s="695" t="str">
        <f>[1]List1!$B$28</f>
        <v>body</v>
      </c>
      <c r="GB77" s="696" t="str">
        <f>[1]List1!$B$29</f>
        <v>tech. body</v>
      </c>
      <c r="GD77" s="705" t="str">
        <f>FL77</f>
        <v>body</v>
      </c>
      <c r="GE77" s="698" t="str">
        <f>FM77</f>
        <v>tech. body</v>
      </c>
      <c r="GK77" s="678" t="str">
        <f>[1]List1!$A$23</f>
        <v>1. repas</v>
      </c>
      <c r="GL77" s="678"/>
      <c r="GN77" s="389"/>
      <c r="GO77" s="685" t="str">
        <f>GK77</f>
        <v>1. repas</v>
      </c>
      <c r="GP77" s="685"/>
      <c r="GQ77" s="390"/>
      <c r="GT77" s="359" t="str">
        <f>[1]List1!$C$11</f>
        <v>do tabulky</v>
      </c>
      <c r="GV77" s="274">
        <f>IF(AC5="x",1,0)</f>
        <v>1</v>
      </c>
    </row>
    <row r="78" spans="1:336" ht="13.8" thickBot="1" x14ac:dyDescent="0.3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78"/>
      <c r="BY78" s="694"/>
      <c r="BZ78" s="695"/>
      <c r="CA78" s="696"/>
      <c r="CB78" s="694"/>
      <c r="CC78" s="695"/>
      <c r="CD78" s="696"/>
      <c r="CE78" s="694"/>
      <c r="CF78" s="695"/>
      <c r="CG78" s="696"/>
      <c r="CH78" s="694"/>
      <c r="CI78" s="695"/>
      <c r="CJ78" s="696"/>
      <c r="CK78" s="694"/>
      <c r="CL78" s="695"/>
      <c r="CM78" s="696"/>
      <c r="CN78" s="694"/>
      <c r="CO78" s="695"/>
      <c r="CP78" s="696"/>
      <c r="CQ78" s="694"/>
      <c r="CR78" s="695"/>
      <c r="CS78" s="696"/>
      <c r="CT78" s="694"/>
      <c r="CU78" s="695"/>
      <c r="CV78" s="696"/>
      <c r="CW78" s="792"/>
      <c r="CX78" s="792"/>
      <c r="CY78" s="792"/>
      <c r="CZ78" s="792"/>
      <c r="DA78" s="792"/>
      <c r="DB78" s="792"/>
      <c r="DC78" s="792"/>
      <c r="DD78" s="792"/>
      <c r="DE78" s="792"/>
      <c r="DF78" s="792"/>
      <c r="DG78" s="792"/>
      <c r="DH78" s="801"/>
      <c r="DJ78" s="678"/>
      <c r="DL78" s="694"/>
      <c r="DM78" s="695"/>
      <c r="DN78" s="706"/>
      <c r="DO78" s="131"/>
      <c r="DR78" s="798"/>
      <c r="DS78" s="798"/>
      <c r="DT78" s="798"/>
      <c r="DU78" s="798"/>
      <c r="DV78" s="798"/>
      <c r="DW78" s="798"/>
      <c r="EN78" s="359" t="str">
        <f>[1]List1!$G$25</f>
        <v>repasáž</v>
      </c>
      <c r="EP78" s="694"/>
      <c r="EQ78" s="695"/>
      <c r="ER78" s="696"/>
      <c r="ES78" s="694"/>
      <c r="ET78" s="695"/>
      <c r="EU78" s="696"/>
      <c r="EV78" s="694"/>
      <c r="EW78" s="695"/>
      <c r="EX78" s="696"/>
      <c r="EY78" s="694"/>
      <c r="EZ78" s="695"/>
      <c r="FA78" s="696"/>
      <c r="FB78" s="694"/>
      <c r="FC78" s="695"/>
      <c r="FD78" s="696"/>
      <c r="FE78" s="694"/>
      <c r="FF78" s="695"/>
      <c r="FG78" s="696"/>
      <c r="FH78" s="694"/>
      <c r="FI78" s="695"/>
      <c r="FJ78" s="696"/>
      <c r="FK78" s="694"/>
      <c r="FL78" s="695"/>
      <c r="FM78" s="696"/>
      <c r="FS78" s="719"/>
      <c r="FT78" s="695"/>
      <c r="FU78" s="695"/>
      <c r="FV78" s="696"/>
      <c r="FW78" s="694"/>
      <c r="FX78" s="695"/>
      <c r="FY78" s="696"/>
      <c r="FZ78" s="694"/>
      <c r="GA78" s="695"/>
      <c r="GB78" s="696"/>
      <c r="GD78" s="706"/>
      <c r="GE78" s="699"/>
      <c r="GN78" s="391"/>
      <c r="GO78" s="367"/>
      <c r="GP78" s="367"/>
      <c r="GQ78" s="369"/>
      <c r="GY78" s="714" t="str">
        <f>JY5</f>
        <v>do tabulky</v>
      </c>
      <c r="GZ78" s="715"/>
      <c r="HA78" s="715"/>
      <c r="HB78" s="715"/>
      <c r="HC78" s="715"/>
      <c r="HD78" s="715"/>
      <c r="HE78" s="715"/>
      <c r="HF78" s="716"/>
    </row>
    <row r="79" spans="1:336" ht="12.75" customHeight="1" thickBot="1" x14ac:dyDescent="0.3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78"/>
      <c r="BY79" s="694"/>
      <c r="BZ79" s="695"/>
      <c r="CA79" s="696"/>
      <c r="CB79" s="694"/>
      <c r="CC79" s="695"/>
      <c r="CD79" s="696"/>
      <c r="CE79" s="694"/>
      <c r="CF79" s="695"/>
      <c r="CG79" s="696"/>
      <c r="CH79" s="694"/>
      <c r="CI79" s="695"/>
      <c r="CJ79" s="696"/>
      <c r="CK79" s="694"/>
      <c r="CL79" s="695"/>
      <c r="CM79" s="696"/>
      <c r="CN79" s="694"/>
      <c r="CO79" s="695"/>
      <c r="CP79" s="696"/>
      <c r="CQ79" s="694"/>
      <c r="CR79" s="695"/>
      <c r="CS79" s="696"/>
      <c r="CT79" s="694"/>
      <c r="CU79" s="695"/>
      <c r="CV79" s="696"/>
      <c r="CW79" s="792"/>
      <c r="CX79" s="792"/>
      <c r="CY79" s="792"/>
      <c r="CZ79" s="792"/>
      <c r="DA79" s="792"/>
      <c r="DB79" s="792"/>
      <c r="DC79" s="792"/>
      <c r="DD79" s="792"/>
      <c r="DE79" s="792"/>
      <c r="DF79" s="792"/>
      <c r="DG79" s="792"/>
      <c r="DH79" s="801"/>
      <c r="DJ79" s="678"/>
      <c r="DL79" s="694"/>
      <c r="DM79" s="695"/>
      <c r="DN79" s="706"/>
      <c r="DO79" s="131"/>
      <c r="DR79" s="798"/>
      <c r="DS79" s="798"/>
      <c r="DT79" s="798"/>
      <c r="DU79" s="798"/>
      <c r="DV79" s="798"/>
      <c r="DW79" s="798"/>
      <c r="EP79" s="694"/>
      <c r="EQ79" s="695"/>
      <c r="ER79" s="696"/>
      <c r="ES79" s="694"/>
      <c r="ET79" s="695"/>
      <c r="EU79" s="696"/>
      <c r="EV79" s="694"/>
      <c r="EW79" s="695"/>
      <c r="EX79" s="696"/>
      <c r="EY79" s="694"/>
      <c r="EZ79" s="695"/>
      <c r="FA79" s="696"/>
      <c r="FB79" s="694"/>
      <c r="FC79" s="695"/>
      <c r="FD79" s="696"/>
      <c r="FE79" s="694"/>
      <c r="FF79" s="695"/>
      <c r="FG79" s="696"/>
      <c r="FH79" s="694"/>
      <c r="FI79" s="695"/>
      <c r="FJ79" s="696"/>
      <c r="FK79" s="694"/>
      <c r="FL79" s="695"/>
      <c r="FM79" s="696"/>
      <c r="FS79" s="719"/>
      <c r="FT79" s="695"/>
      <c r="FU79" s="695"/>
      <c r="FV79" s="696"/>
      <c r="FW79" s="694"/>
      <c r="FX79" s="695"/>
      <c r="FY79" s="696"/>
      <c r="FZ79" s="694"/>
      <c r="GA79" s="695"/>
      <c r="GB79" s="696"/>
      <c r="GD79" s="706"/>
      <c r="GE79" s="699"/>
      <c r="GH79" s="257">
        <f>FS81</f>
        <v>1</v>
      </c>
      <c r="GI79" s="257">
        <f>FS82</f>
        <v>3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17"/>
      <c r="HE79" s="715"/>
      <c r="HF79" s="716"/>
    </row>
    <row r="80" spans="1:336" ht="13.8" thickBot="1" x14ac:dyDescent="0.3">
      <c r="C80" s="203">
        <v>1</v>
      </c>
      <c r="E80" t="str">
        <f>[1]List1!$A$181</f>
        <v>napomínání "O"</v>
      </c>
      <c r="X80" s="203"/>
      <c r="AC80" s="203"/>
      <c r="AG80" s="658"/>
      <c r="BX80" s="678"/>
      <c r="BY80" s="694"/>
      <c r="BZ80" s="695"/>
      <c r="CA80" s="696"/>
      <c r="CB80" s="694"/>
      <c r="CC80" s="695"/>
      <c r="CD80" s="696"/>
      <c r="CE80" s="694"/>
      <c r="CF80" s="695"/>
      <c r="CG80" s="696"/>
      <c r="CH80" s="694"/>
      <c r="CI80" s="695"/>
      <c r="CJ80" s="696"/>
      <c r="CK80" s="694"/>
      <c r="CL80" s="695"/>
      <c r="CM80" s="696"/>
      <c r="CN80" s="694"/>
      <c r="CO80" s="695"/>
      <c r="CP80" s="696"/>
      <c r="CQ80" s="694"/>
      <c r="CR80" s="695"/>
      <c r="CS80" s="696"/>
      <c r="CT80" s="694"/>
      <c r="CU80" s="695"/>
      <c r="CV80" s="696"/>
      <c r="CW80" s="792"/>
      <c r="CX80" s="792"/>
      <c r="CY80" s="792"/>
      <c r="CZ80" s="792"/>
      <c r="DA80" s="792"/>
      <c r="DB80" s="792"/>
      <c r="DC80" s="792"/>
      <c r="DD80" s="792"/>
      <c r="DE80" s="792"/>
      <c r="DF80" s="792"/>
      <c r="DG80" s="792"/>
      <c r="DH80" s="801"/>
      <c r="DJ80" s="678"/>
      <c r="DL80" s="694"/>
      <c r="DM80" s="695"/>
      <c r="DN80" s="706"/>
      <c r="DO80" s="131"/>
      <c r="DP80" s="216" t="str">
        <f>EL80</f>
        <v>los</v>
      </c>
      <c r="DQ80" s="346" t="s">
        <v>23</v>
      </c>
      <c r="DR80" s="798"/>
      <c r="DS80" s="798"/>
      <c r="DT80" s="798"/>
      <c r="DU80" s="798"/>
      <c r="DV80" s="798"/>
      <c r="DW80" s="798"/>
      <c r="DX80" s="678" t="str">
        <f>DQ80</f>
        <v>sens</v>
      </c>
      <c r="DY80" s="678"/>
      <c r="DZ80" s="678"/>
      <c r="EC80" s="359" t="s">
        <v>24</v>
      </c>
      <c r="EG80" s="352" t="s">
        <v>5</v>
      </c>
      <c r="EL80" s="257" t="str">
        <f>BX77</f>
        <v>los</v>
      </c>
      <c r="EP80" s="694"/>
      <c r="EQ80" s="695"/>
      <c r="ER80" s="696"/>
      <c r="ES80" s="694"/>
      <c r="ET80" s="695"/>
      <c r="EU80" s="696"/>
      <c r="EV80" s="694"/>
      <c r="EW80" s="695"/>
      <c r="EX80" s="696"/>
      <c r="EY80" s="694"/>
      <c r="EZ80" s="695"/>
      <c r="FA80" s="696"/>
      <c r="FB80" s="694"/>
      <c r="FC80" s="695"/>
      <c r="FD80" s="696"/>
      <c r="FE80" s="694"/>
      <c r="FF80" s="695"/>
      <c r="FG80" s="696"/>
      <c r="FH80" s="694"/>
      <c r="FI80" s="695"/>
      <c r="FJ80" s="696"/>
      <c r="FK80" s="694"/>
      <c r="FL80" s="695"/>
      <c r="FM80" s="696"/>
      <c r="FS80" s="720"/>
      <c r="FT80" s="695"/>
      <c r="FU80" s="695"/>
      <c r="FV80" s="696"/>
      <c r="FW80" s="694"/>
      <c r="FX80" s="695"/>
      <c r="FY80" s="696"/>
      <c r="FZ80" s="694"/>
      <c r="GA80" s="695"/>
      <c r="GB80" s="696"/>
      <c r="GD80" s="707"/>
      <c r="GE80" s="700"/>
      <c r="GH80" s="257">
        <f>FS83</f>
        <v>4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5">
      <c r="A81" t="str">
        <f>'[2]Základní údaje'!$B$7</f>
        <v xml:space="preserve">Čechovice,  3.12.2022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5</v>
      </c>
      <c r="CA81" s="349">
        <f>F8</f>
        <v>4</v>
      </c>
      <c r="CB81" s="526">
        <f>IF(H7=$BQ$2,0,(IF(H7="",0,H7)))</f>
        <v>3</v>
      </c>
      <c r="CC81" s="348">
        <f>I7</f>
        <v>5</v>
      </c>
      <c r="CD81" s="569">
        <f>I8</f>
        <v>2</v>
      </c>
      <c r="CE81" s="567">
        <f>IF(K7=$BQ$2,0,(IF(K7="",0,K7)))</f>
        <v>4</v>
      </c>
      <c r="CF81" s="568">
        <f>L7</f>
        <v>1</v>
      </c>
      <c r="CG81" s="569">
        <f>L8</f>
        <v>2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11</v>
      </c>
      <c r="DM81" s="572">
        <f>CA81+CD81+CG81+CJ81+CM81+CP81+CS81+CV81</f>
        <v>8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2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6</v>
      </c>
      <c r="DW81" s="626">
        <f>IF(DQ81=$BK$2,0,(IF(BP7&gt;1,1,0)))</f>
        <v>0</v>
      </c>
      <c r="DX81" s="702">
        <f>IF(DJ81="",$DX$76+0.001,((IF(DQ81=$BK$2,$DX$76,(((((((((300)-(DW81*100)+DL81)*10+DV81)*100+DM81)*10+DS81)*10+DT81)*10)+DU81)*100+DH81)))+0.01*DJ81+0.001))</f>
        <v>31160820098.010998</v>
      </c>
      <c r="DY81" s="702"/>
      <c r="DZ81" s="702"/>
      <c r="EA81" s="88">
        <f>LEN(DX81)</f>
        <v>15</v>
      </c>
      <c r="EB81" s="88"/>
      <c r="EC81" s="702">
        <f>IF(DQ81=$BK$2,DX81,(LARGE($DX$81:$DX$96,DQ81)))</f>
        <v>31160820098.010998</v>
      </c>
      <c r="ED81" s="702"/>
      <c r="EE81" s="702"/>
      <c r="EG81" s="257">
        <f>LEN(EC81)</f>
        <v>15</v>
      </c>
      <c r="EJ81" s="257">
        <f>VALUE(MID(EC81,EG81-2,2))</f>
        <v>1</v>
      </c>
      <c r="EL81" s="257">
        <f>EJ81</f>
        <v>1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5</v>
      </c>
      <c r="ER81" s="571">
        <f>INDEX($CA$81:$CA$96,EO81)</f>
        <v>4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2</v>
      </c>
      <c r="EV81" s="571">
        <f>VALUE(INDEX($CE$81:$CE$96,EO81))</f>
        <v>4</v>
      </c>
      <c r="EW81" s="571">
        <f>INDEX($CF$81:$CF$96,EO81)</f>
        <v>1</v>
      </c>
      <c r="EX81" s="571">
        <f>INDEX($CG$81:$CG$96,EO81)</f>
        <v>2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3</v>
      </c>
      <c r="FU81" s="378">
        <f>IF(FT81=$EN$76,"",(IF(FT81=EP81,EQ81,IF(FT81=ES81,ET81,IF(FT81=EV81,EW81,IF(FT81=EY81,EZ81,IF(FT81=FB81,FC81,IF(FT81=FE81,FF81,IF(FT81=FH81,FI81,IF(FT81=FK81,FL81,""))))))))))</f>
        <v>5</v>
      </c>
      <c r="FV81" s="379">
        <f>IF(FT81=$EN$76,"",(IF(FT81=EP81,ER81,IF(FT81=ES81,EU81,IF(FT81=EV81,EX81,IF(FT81=EY81,FA81,IF(FT81=FB81,FD81,IF(FT81=FE81,FG81,IF(FT81=FH81,FJ81,IF(FT81=FK81,FM81,""))))))))))</f>
        <v>2</v>
      </c>
      <c r="FW81" s="353">
        <f>FS83</f>
        <v>4</v>
      </c>
      <c r="FX81" s="378">
        <f>IF(FW81=$EN$76,"",(IF(FW81=EP81,EQ81,IF(FW81=ES81,ET81,IF(FW81=EV81,EW81,IF(FW81=EY81,EZ81,IF(FW81=FB81,FC81,IF(FW81=FE81,FF81,IF(FW81=FH81,FI81,IF(FW81=FK81,FL81,""))))))))))</f>
        <v>1</v>
      </c>
      <c r="FY81" s="355">
        <f>IF(FW81=$EN$76,"",(IF(FW81=EP81,ER81,IF(FW81=ES81,EU81,IF(FW81=EV81,EX81,IF(FW81=EY81,FA81,IF(FW81=FB81,FD81,IF(FW81=FE81,FG81,IF(FW81=FH81,FJ81,IF(FW81=FK81,FM81,""))))))))))</f>
        <v>2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6</v>
      </c>
      <c r="GE81" s="383">
        <f t="shared" si="377"/>
        <v>4</v>
      </c>
      <c r="GH81" s="257">
        <f>FZ82</f>
        <v>4</v>
      </c>
      <c r="GI81" s="257">
        <f>FZ83</f>
        <v>3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/>
      </c>
      <c r="HC81" s="255"/>
      <c r="HD81" s="376"/>
      <c r="HE81" s="381"/>
      <c r="HF81" s="382"/>
      <c r="HG81" s="374"/>
    </row>
    <row r="82" spans="1:215" ht="13.5" customHeight="1" thickBot="1" x14ac:dyDescent="0.3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0</v>
      </c>
      <c r="CA82" s="349">
        <f>F10</f>
        <v>0</v>
      </c>
      <c r="CB82" s="526">
        <f>IF(H9=$BQ$2,0,(IF(H9="",0,H9)))</f>
        <v>4</v>
      </c>
      <c r="CC82" s="348">
        <f>I9</f>
        <v>0</v>
      </c>
      <c r="CD82" s="569">
        <f>I10</f>
        <v>0</v>
      </c>
      <c r="CE82" s="567">
        <f>IF(K9=$BQ$2,0,(IF(K9="",0,K9)))</f>
        <v>0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0</v>
      </c>
      <c r="DM82" s="569">
        <f t="shared" ref="DM82:DM112" si="383">CA82+CD82+CG82+CJ82+CM82+CP82+CS82+CV82</f>
        <v>0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/>
      </c>
      <c r="DS82" s="346">
        <f t="shared" ref="DS82:DS112" si="386">(IF(BZ82=5,1,0))+(IF(CC82=5,1,0))+(IF(CQ82=5,1,0))+(IF(CT82=5,1,0))+(IF(CW82=5,1,0))+(IF(CZ82=5,1,0))+(IF(DC82=5,1,0))+(IF(DF82=5,1,0))</f>
        <v>0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5</v>
      </c>
      <c r="DW82" s="626">
        <f>IF(DQ82=$BK$2,0,(IF(BP9&gt;1,1,0)))</f>
        <v>1</v>
      </c>
      <c r="DX82" s="702">
        <f t="shared" ref="DX82:DX96" si="390">IF(DJ82="",$DX$76+0.001,((IF(DQ82=$BK$2,$DX$76,(((((((((300)-(DW82*100)+DL82)*10+DV82)*100+DM82)*10+DS82)*10+DT82)*10)+DU82)*100+DH82)))+0.01*DJ82+0.001))</f>
        <v>20050000097.021</v>
      </c>
      <c r="DY82" s="702"/>
      <c r="DZ82" s="702"/>
      <c r="EA82" s="88">
        <f t="shared" ref="EA82:EA112" si="391">LEN(DX82)</f>
        <v>15</v>
      </c>
      <c r="EB82" s="88"/>
      <c r="EC82" s="702">
        <f t="shared" ref="EC82:EC96" si="392">IF(DQ82=$BK$2,DX82,(LARGE($DX$81:$DX$96,DQ82)))</f>
        <v>30862410095.041</v>
      </c>
      <c r="ED82" s="702"/>
      <c r="EE82" s="702"/>
      <c r="EG82" s="352">
        <f t="shared" ref="EG82:EG96" si="393">LEN(EC82)</f>
        <v>15</v>
      </c>
      <c r="EJ82" s="653">
        <f t="shared" ref="EJ82:EJ112" si="394">VALUE(MID(EC82,EG82-2,2))</f>
        <v>4</v>
      </c>
      <c r="EL82" s="352">
        <f>EJ82</f>
        <v>4</v>
      </c>
      <c r="EM82" s="393" t="str">
        <f>AC9</f>
        <v/>
      </c>
      <c r="EN82" s="393">
        <f t="shared" si="376"/>
        <v>999</v>
      </c>
      <c r="EO82" s="393">
        <f>VALUE(SMALL($EN$81:$EN$96,DI82))</f>
        <v>3</v>
      </c>
      <c r="EP82" s="567">
        <f>VALUE(INDEX($BY$81:$BY$96,EO82))</f>
        <v>4</v>
      </c>
      <c r="EQ82" s="568">
        <f>INDEX($BZ$81:$BZ$96,EO82)</f>
        <v>5</v>
      </c>
      <c r="ER82" s="568">
        <f>INDEX($CA$81:$CA$96,EO82)</f>
        <v>14</v>
      </c>
      <c r="ES82" s="567">
        <f>VALUE(INDEX($CB$81:$CB$96,EO82))</f>
        <v>1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0</v>
      </c>
      <c r="EW82" s="568">
        <f>INDEX($CF$81:$CF$96,EO82)</f>
        <v>0</v>
      </c>
      <c r="EX82" s="568">
        <f>INDEX($CG$81:$CG$96,EO82)</f>
        <v>0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3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0</v>
      </c>
      <c r="FV82" s="383">
        <f>IF(FT82=$EN$76,"",(IF(FT82=EP82,ER82,IF(FT82=ES82,EU82,IF(FT82=EV82,EX82,IF(FT82=EY82,FA82,IF(FT82=FB82,FD82,IF(FT82=FE82,FG82,IF(FT82=FH82,FJ82,IF(FT82=FK82,FM82,""))))))))))</f>
        <v>0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4</v>
      </c>
      <c r="GA82" s="381">
        <f>IF(FZ82=$EN$76,"",(IF(FZ82=EP82,EQ82,IF(FZ82=ES82,ET82,IF(FZ82=EV82,EW82,IF(FZ82=EY82,EZ82,IF(FZ82=FB82,FC82,IF(FZ82=FE82,FF82,IF(FZ82=FH82,FI82,IF(FZ82=FK82,FL82,""))))))))))</f>
        <v>5</v>
      </c>
      <c r="GB82" s="358">
        <f>IF(FZ82=$EN$76,"",(IF(FZ82=EP82,ER82,IF(FZ82=ES82,EU82,IF(FZ82=EV82,EX82,IF(FZ82=EY82,FA82,IF(FZ82=FB82,FD82,IF(FZ82=FE82,FG82,IF(FZ82=FH82,FJ82,IF(FZ82=FK82,FM82,""))))))))))</f>
        <v>14</v>
      </c>
      <c r="GD82" s="380">
        <f t="shared" si="377"/>
        <v>5</v>
      </c>
      <c r="GE82" s="383">
        <f t="shared" si="377"/>
        <v>14</v>
      </c>
      <c r="GK82" s="678" t="str">
        <f>[1]List1!$A$24</f>
        <v>2. repas</v>
      </c>
      <c r="GL82" s="678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>F</v>
      </c>
      <c r="HC82" s="255">
        <f>GY81</f>
        <v>2</v>
      </c>
      <c r="HD82" s="376">
        <f>HD80+1</f>
        <v>2</v>
      </c>
      <c r="HE82" s="381"/>
      <c r="HF82" s="382" t="str">
        <f>HB81</f>
        <v/>
      </c>
      <c r="HG82" s="374"/>
    </row>
    <row r="83" spans="1:215" ht="12.75" customHeight="1" thickTop="1" x14ac:dyDescent="0.25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5</v>
      </c>
      <c r="CA83" s="349">
        <f>F12</f>
        <v>14</v>
      </c>
      <c r="CB83" s="526">
        <f>IF(H11=$BQ$2,0,(IF(H11="",0,H11)))</f>
        <v>1</v>
      </c>
      <c r="CC83" s="348">
        <f>I11</f>
        <v>0</v>
      </c>
      <c r="CD83" s="569">
        <f>I12</f>
        <v>0</v>
      </c>
      <c r="CE83" s="567">
        <f>IF(K11=$BQ$2,0,(IF(K11="",0,K11)))</f>
        <v>0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5</v>
      </c>
      <c r="DM83" s="569">
        <f t="shared" si="383"/>
        <v>14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>F</v>
      </c>
      <c r="DS83" s="346">
        <f t="shared" si="386"/>
        <v>1</v>
      </c>
      <c r="DT83" s="346">
        <f t="shared" si="387"/>
        <v>0</v>
      </c>
      <c r="DU83" s="346">
        <f t="shared" si="388"/>
        <v>0</v>
      </c>
      <c r="DV83" s="600">
        <f t="shared" si="389"/>
        <v>6</v>
      </c>
      <c r="DW83" s="626">
        <f>IF(DQ83=$BK$2,0,(IF(BP11&gt;1,1,0)))</f>
        <v>0</v>
      </c>
      <c r="DX83" s="702">
        <f t="shared" si="390"/>
        <v>30561410096.030998</v>
      </c>
      <c r="DY83" s="702"/>
      <c r="DZ83" s="702"/>
      <c r="EA83" s="88">
        <f t="shared" si="391"/>
        <v>15</v>
      </c>
      <c r="EB83" s="88"/>
      <c r="EC83" s="702">
        <f t="shared" si="392"/>
        <v>30561410096.030998</v>
      </c>
      <c r="ED83" s="702"/>
      <c r="EE83" s="702"/>
      <c r="EG83" s="352">
        <f t="shared" si="393"/>
        <v>15</v>
      </c>
      <c r="EJ83" s="653">
        <f t="shared" si="394"/>
        <v>3</v>
      </c>
      <c r="EL83" s="352">
        <f>EJ83</f>
        <v>3</v>
      </c>
      <c r="EM83" s="393" t="str">
        <f>AC11</f>
        <v>F</v>
      </c>
      <c r="EN83" s="393">
        <f t="shared" si="376"/>
        <v>3</v>
      </c>
      <c r="EO83" s="393">
        <f>VALUE(SMALL($EN$81:$EN$96,DI83))</f>
        <v>4</v>
      </c>
      <c r="EP83" s="191">
        <f>VALUE(INDEX($BY$81:$BY$96,EO83))</f>
        <v>3</v>
      </c>
      <c r="EQ83" s="98">
        <f>INDEX($BZ$81:$BZ$96,EO83)</f>
        <v>0</v>
      </c>
      <c r="ER83" s="98">
        <f>INDEX($CA$81:$CA$96,EO83)</f>
        <v>4</v>
      </c>
      <c r="ES83" s="191">
        <f>VALUE(INDEX($CB$81:$CB$96,EO83))</f>
        <v>2</v>
      </c>
      <c r="ET83" s="98">
        <f>INDEX($CC$81:$CC$96,EO83)</f>
        <v>5</v>
      </c>
      <c r="EU83" s="192">
        <f>INDEX($CD$81:$CD$96,EO83)</f>
        <v>10</v>
      </c>
      <c r="EV83" s="98">
        <f>VALUE(INDEX($CE$81:$CE$96,EO83))</f>
        <v>1</v>
      </c>
      <c r="EW83" s="98">
        <f>INDEX($CF$81:$CF$96,EO83)</f>
        <v>3</v>
      </c>
      <c r="EX83" s="98">
        <f>INDEX($CG$81:$CG$96,EO83)</f>
        <v>10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4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3</v>
      </c>
      <c r="FY83" s="192">
        <f>IF(FW83=$EN$76,"",(IF(FW83=EP83,ER83,IF(FW83=ES83,EU83,IF(FW83=EV83,EX83,IF(FW83=EY83,FA83,IF(FW83=FB83,FD83,IF(FW83=FE83,FG83,IF(FW83=FH83,FJ83,IF(FW83=FK83,FM83,""))))))))))</f>
        <v>10</v>
      </c>
      <c r="FZ83" s="98">
        <f>FS82</f>
        <v>3</v>
      </c>
      <c r="GA83" s="98">
        <f>IF(FZ83=$EN$76,"",(IF(FZ83=EP83,EQ83,IF(FZ83=ES83,ET83,IF(FZ83=EV83,EW83,IF(FZ83=EY83,EZ83,IF(FZ83=FB83,FC83,IF(FZ83=FE83,FF83,IF(FZ83=FH83,FI83,IF(FZ83=FK83,FL83,""))))))))))</f>
        <v>0</v>
      </c>
      <c r="GB83" s="192">
        <f>IF(FZ83=$EN$76,"",(IF(FZ83=EP83,ER83,IF(FZ83=ES83,EU83,IF(FZ83=EV83,EX83,IF(FZ83=EY83,FA83,IF(FZ83=FB83,FD83,IF(FZ83=FE83,FG83,IF(FZ83=FH83,FJ83,IF(FZ83=FK83,FM83,""))))))))))</f>
        <v>4</v>
      </c>
      <c r="GD83" s="191">
        <f t="shared" si="377"/>
        <v>3</v>
      </c>
      <c r="GE83" s="192">
        <f t="shared" si="377"/>
        <v>14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5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0</v>
      </c>
      <c r="CA84" s="349">
        <f>F14</f>
        <v>4</v>
      </c>
      <c r="CB84" s="526">
        <f>IF(H13=$BQ$2,0,(IF(H13="",0,H13)))</f>
        <v>2</v>
      </c>
      <c r="CC84" s="348">
        <f>I13</f>
        <v>5</v>
      </c>
      <c r="CD84" s="569">
        <f>I14</f>
        <v>10</v>
      </c>
      <c r="CE84" s="567">
        <f>IF(K13=$BQ$2,0,(IF(K13="",0,K13)))</f>
        <v>1</v>
      </c>
      <c r="CF84" s="568">
        <f>L13</f>
        <v>3</v>
      </c>
      <c r="CG84" s="569">
        <f>L14</f>
        <v>10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8</v>
      </c>
      <c r="DM84" s="569">
        <f t="shared" si="383"/>
        <v>24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1</v>
      </c>
      <c r="DT84" s="346">
        <f t="shared" si="387"/>
        <v>0</v>
      </c>
      <c r="DU84" s="346">
        <f t="shared" si="388"/>
        <v>0</v>
      </c>
      <c r="DV84" s="600">
        <f t="shared" si="389"/>
        <v>6</v>
      </c>
      <c r="DW84" s="626">
        <f>IF(DQ84=$BK$2,0,(IF(BP13&gt;1,1,0)))</f>
        <v>0</v>
      </c>
      <c r="DX84" s="702">
        <f t="shared" si="390"/>
        <v>30862410095.041</v>
      </c>
      <c r="DY84" s="702"/>
      <c r="DZ84" s="702"/>
      <c r="EA84" s="88">
        <f t="shared" si="391"/>
        <v>15</v>
      </c>
      <c r="EB84" s="88"/>
      <c r="EC84" s="702">
        <f t="shared" si="392"/>
        <v>20050000097.021</v>
      </c>
      <c r="ED84" s="702"/>
      <c r="EE84" s="702"/>
      <c r="EG84" s="352">
        <f t="shared" si="393"/>
        <v>15</v>
      </c>
      <c r="EJ84" s="653">
        <f t="shared" si="394"/>
        <v>2</v>
      </c>
      <c r="EL84" s="352"/>
      <c r="EM84" s="393" t="str">
        <f>AC13</f>
        <v>F</v>
      </c>
      <c r="EN84" s="393">
        <f t="shared" si="376"/>
        <v>4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>F</v>
      </c>
      <c r="HG84" s="374"/>
    </row>
    <row r="85" spans="1:215" ht="12.75" hidden="1" customHeight="1" x14ac:dyDescent="0.25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702">
        <f t="shared" si="390"/>
        <v>10000000000.000999</v>
      </c>
      <c r="DY85" s="702"/>
      <c r="DZ85" s="702"/>
      <c r="EA85" s="88">
        <f t="shared" si="391"/>
        <v>15</v>
      </c>
      <c r="EB85" s="88"/>
      <c r="EC85" s="702">
        <f t="shared" si="392"/>
        <v>10000000000.000999</v>
      </c>
      <c r="ED85" s="702"/>
      <c r="EE85" s="702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5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702">
        <f t="shared" si="390"/>
        <v>10000000000.000999</v>
      </c>
      <c r="DY86" s="702"/>
      <c r="DZ86" s="702"/>
      <c r="EA86" s="88">
        <f t="shared" si="391"/>
        <v>15</v>
      </c>
      <c r="EB86" s="88"/>
      <c r="EC86" s="702">
        <f t="shared" si="392"/>
        <v>10000000000.000999</v>
      </c>
      <c r="ED86" s="702"/>
      <c r="EE86" s="702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5">
      <c r="AH87" s="678" t="str">
        <f t="shared" ref="AH87:AH104" si="399">AH5</f>
        <v>3. kolo</v>
      </c>
      <c r="AI87" s="678"/>
      <c r="AJ87" s="678"/>
      <c r="AM87" s="678" t="str">
        <f t="shared" ref="AM87:AM104" si="400">AM5</f>
        <v>4. kolo</v>
      </c>
      <c r="AN87" s="678"/>
      <c r="AO87" s="678"/>
      <c r="AR87" s="678" t="str">
        <f t="shared" ref="AR87:AR104" si="401">AR5</f>
        <v>5. kolo</v>
      </c>
      <c r="AS87" s="678"/>
      <c r="AT87" s="678"/>
      <c r="AW87" s="678" t="str">
        <f t="shared" ref="AW87:AW104" si="402">AW5</f>
        <v>6. kolo</v>
      </c>
      <c r="AX87" s="678"/>
      <c r="AY87" s="678"/>
      <c r="BB87" s="678" t="str">
        <f t="shared" ref="BB87:BB104" si="403">BB5</f>
        <v>7. kolo</v>
      </c>
      <c r="BC87" s="678"/>
      <c r="BD87" s="678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02">
        <f t="shared" si="390"/>
        <v>10000000000.000999</v>
      </c>
      <c r="DY87" s="702"/>
      <c r="DZ87" s="702"/>
      <c r="EA87" s="88">
        <f t="shared" si="391"/>
        <v>15</v>
      </c>
      <c r="EB87" s="88"/>
      <c r="EC87" s="702">
        <f t="shared" si="392"/>
        <v>10000000000.000999</v>
      </c>
      <c r="ED87" s="702"/>
      <c r="EE87" s="702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5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02">
        <f t="shared" si="390"/>
        <v>10000000000.000999</v>
      </c>
      <c r="DY88" s="702"/>
      <c r="DZ88" s="702"/>
      <c r="EA88" s="88">
        <f t="shared" si="391"/>
        <v>15</v>
      </c>
      <c r="EB88" s="88"/>
      <c r="EC88" s="702">
        <f t="shared" si="392"/>
        <v>10000000000.000999</v>
      </c>
      <c r="ED88" s="702"/>
      <c r="EE88" s="702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4</v>
      </c>
      <c r="AJ89" s="463">
        <f t="shared" ref="AJ89:AJ104" si="409">AJ7</f>
        <v>4</v>
      </c>
      <c r="AM89" s="463">
        <f t="shared" si="400"/>
        <v>4</v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02">
        <f t="shared" si="390"/>
        <v>10000000000.000999</v>
      </c>
      <c r="DY89" s="702"/>
      <c r="DZ89" s="702"/>
      <c r="EA89" s="88">
        <f t="shared" si="391"/>
        <v>15</v>
      </c>
      <c r="EB89" s="88"/>
      <c r="EC89" s="702">
        <f t="shared" si="392"/>
        <v>10000000000.000999</v>
      </c>
      <c r="ED89" s="702"/>
      <c r="EE89" s="702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5">
      <c r="AF90" s="463">
        <f>AF89+1</f>
        <v>2</v>
      </c>
      <c r="AG90" s="476"/>
      <c r="AH90" s="463">
        <f t="shared" si="399"/>
        <v>3</v>
      </c>
      <c r="AI90" s="463" t="str">
        <f t="shared" si="404"/>
        <v>VL</v>
      </c>
      <c r="AJ90" s="463" t="str">
        <f t="shared" si="409"/>
        <v>VL</v>
      </c>
      <c r="AM90" s="463">
        <f t="shared" si="400"/>
        <v>1</v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02">
        <f t="shared" si="390"/>
        <v>10000000000.000999</v>
      </c>
      <c r="DY90" s="702"/>
      <c r="DZ90" s="702"/>
      <c r="EA90" s="88">
        <f t="shared" si="391"/>
        <v>15</v>
      </c>
      <c r="EB90" s="88"/>
      <c r="EC90" s="702">
        <f t="shared" si="392"/>
        <v>10000000000.000999</v>
      </c>
      <c r="ED90" s="702"/>
      <c r="EE90" s="702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5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4</v>
      </c>
      <c r="AI91" s="463">
        <f t="shared" si="404"/>
        <v>0</v>
      </c>
      <c r="AJ91" s="463">
        <f t="shared" si="409"/>
        <v>1</v>
      </c>
      <c r="AM91" s="463">
        <f t="shared" si="400"/>
        <v>3</v>
      </c>
      <c r="AN91" s="463">
        <f t="shared" si="405"/>
        <v>0</v>
      </c>
      <c r="AO91" s="463" t="str">
        <f t="shared" si="410"/>
        <v>VL</v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02">
        <f t="shared" si="390"/>
        <v>10000000000.000999</v>
      </c>
      <c r="DY91" s="702"/>
      <c r="DZ91" s="702"/>
      <c r="EA91" s="88">
        <f t="shared" si="391"/>
        <v>15</v>
      </c>
      <c r="EB91" s="88"/>
      <c r="EC91" s="702">
        <f t="shared" si="392"/>
        <v>10000000000.000999</v>
      </c>
      <c r="ED91" s="702"/>
      <c r="EE91" s="702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5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02">
        <f t="shared" si="390"/>
        <v>10000000000.000999</v>
      </c>
      <c r="DY92" s="702"/>
      <c r="DZ92" s="702"/>
      <c r="EA92" s="88">
        <f t="shared" si="391"/>
        <v>15</v>
      </c>
      <c r="EB92" s="88"/>
      <c r="EC92" s="702">
        <f t="shared" si="392"/>
        <v>10000000000.000999</v>
      </c>
      <c r="ED92" s="702"/>
      <c r="EE92" s="702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88" t="str">
        <f>[1]List1!$A$12</f>
        <v>1. kolo</v>
      </c>
      <c r="EQ92" s="689"/>
      <c r="ER92" s="690"/>
      <c r="ES92" s="688" t="str">
        <f>[1]List1!$A$13</f>
        <v>2. kolo</v>
      </c>
      <c r="ET92" s="689"/>
      <c r="EU92" s="690"/>
      <c r="EV92" s="688" t="str">
        <f>[1]List1!$A$14</f>
        <v>3. kolo</v>
      </c>
      <c r="EW92" s="689"/>
      <c r="EX92" s="690"/>
      <c r="EY92" s="688" t="str">
        <f>[1]List1!$A$15</f>
        <v>4. kolo</v>
      </c>
      <c r="EZ92" s="689"/>
      <c r="FA92" s="690"/>
      <c r="FB92" s="688" t="str">
        <f>[1]List1!$A$16</f>
        <v>5. kolo</v>
      </c>
      <c r="FC92" s="689"/>
      <c r="FD92" s="690"/>
      <c r="FE92" s="688" t="str">
        <f>[1]List1!$B$16</f>
        <v>6. kolo</v>
      </c>
      <c r="FF92" s="689"/>
      <c r="FG92" s="690"/>
      <c r="FH92" s="688" t="str">
        <f>[1]List1!$B$15</f>
        <v>7. kolo</v>
      </c>
      <c r="FI92" s="689"/>
      <c r="FJ92" s="690"/>
      <c r="FK92" s="688" t="str">
        <f>[1]List1!$B$14</f>
        <v>8. kolo</v>
      </c>
      <c r="FL92" s="689"/>
      <c r="FM92" s="690"/>
      <c r="FS92" s="352"/>
      <c r="FT92" s="688" t="str">
        <f>[1]List1!$A$23</f>
        <v>1. repas</v>
      </c>
      <c r="FU92" s="689"/>
      <c r="FV92" s="690"/>
      <c r="FW92" s="688" t="str">
        <f>[1]List1!$A$24</f>
        <v>2. repas</v>
      </c>
      <c r="FX92" s="689"/>
      <c r="FY92" s="690"/>
      <c r="FZ92" s="688" t="str">
        <f>[1]List1!$A$25</f>
        <v>3. repas</v>
      </c>
      <c r="GA92" s="689"/>
      <c r="GB92" s="690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5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02">
        <f t="shared" si="390"/>
        <v>10000000000.000999</v>
      </c>
      <c r="DY93" s="702"/>
      <c r="DZ93" s="702"/>
      <c r="EA93" s="88">
        <f t="shared" si="391"/>
        <v>15</v>
      </c>
      <c r="EB93" s="88"/>
      <c r="EC93" s="702">
        <f t="shared" si="392"/>
        <v>10000000000.000999</v>
      </c>
      <c r="ED93" s="702"/>
      <c r="EE93" s="702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5" t="str">
        <f>[1]List1!$F$15</f>
        <v>soupeř</v>
      </c>
      <c r="EQ93" s="799" t="str">
        <f>[1]List1!$B$28</f>
        <v>body</v>
      </c>
      <c r="ER93" s="698" t="str">
        <f>[1]List1!$B$29</f>
        <v>tech. body</v>
      </c>
      <c r="ES93" s="705" t="str">
        <f>[1]List1!$F$15</f>
        <v>soupeř</v>
      </c>
      <c r="ET93" s="799" t="str">
        <f>[1]List1!$B$28</f>
        <v>body</v>
      </c>
      <c r="EU93" s="698" t="str">
        <f>[1]List1!$B$29</f>
        <v>tech. body</v>
      </c>
      <c r="EV93" s="705" t="str">
        <f>[1]List1!$F$15</f>
        <v>soupeř</v>
      </c>
      <c r="EW93" s="799" t="str">
        <f>[1]List1!$B$28</f>
        <v>body</v>
      </c>
      <c r="EX93" s="698" t="str">
        <f>[1]List1!$B$29</f>
        <v>tech. body</v>
      </c>
      <c r="EY93" s="705" t="str">
        <f>[1]List1!$F$15</f>
        <v>soupeř</v>
      </c>
      <c r="EZ93" s="799" t="str">
        <f>[1]List1!$B$28</f>
        <v>body</v>
      </c>
      <c r="FA93" s="698" t="str">
        <f>[1]List1!$B$29</f>
        <v>tech. body</v>
      </c>
      <c r="FB93" s="705" t="str">
        <f>[1]List1!$F$15</f>
        <v>soupeř</v>
      </c>
      <c r="FC93" s="799" t="str">
        <f>[1]List1!$B$28</f>
        <v>body</v>
      </c>
      <c r="FD93" s="698" t="str">
        <f>[1]List1!$B$29</f>
        <v>tech. body</v>
      </c>
      <c r="FE93" s="705" t="str">
        <f>[1]List1!$F$15</f>
        <v>soupeř</v>
      </c>
      <c r="FF93" s="799" t="str">
        <f>[1]List1!$B$28</f>
        <v>body</v>
      </c>
      <c r="FG93" s="698" t="str">
        <f>[1]List1!$B$29</f>
        <v>tech. body</v>
      </c>
      <c r="FH93" s="705" t="str">
        <f>[1]List1!$F$15</f>
        <v>soupeř</v>
      </c>
      <c r="FI93" s="799" t="str">
        <f>[1]List1!$B$28</f>
        <v>body</v>
      </c>
      <c r="FJ93" s="698" t="str">
        <f>[1]List1!$B$29</f>
        <v>tech. body</v>
      </c>
      <c r="FK93" s="705" t="str">
        <f>[1]List1!$F$15</f>
        <v>soupeř</v>
      </c>
      <c r="FL93" s="799" t="str">
        <f>[1]List1!$B$28</f>
        <v>body</v>
      </c>
      <c r="FM93" s="698" t="str">
        <f>[1]List1!$B$29</f>
        <v>tech. body</v>
      </c>
      <c r="FS93" s="718" t="str">
        <f>FS77</f>
        <v>los</v>
      </c>
      <c r="FT93" s="705" t="str">
        <f>[1]List1!$F$15</f>
        <v>soupeř</v>
      </c>
      <c r="FU93" s="799" t="str">
        <f>[1]List1!$B$28</f>
        <v>body</v>
      </c>
      <c r="FV93" s="698" t="str">
        <f>[1]List1!$B$29</f>
        <v>tech. body</v>
      </c>
      <c r="FW93" s="705" t="str">
        <f>[1]List1!$F$15</f>
        <v>soupeř</v>
      </c>
      <c r="FX93" s="799" t="str">
        <f>[1]List1!$B$28</f>
        <v>body</v>
      </c>
      <c r="FY93" s="698" t="str">
        <f>[1]List1!$B$29</f>
        <v>tech. body</v>
      </c>
      <c r="FZ93" s="705" t="str">
        <f>[1]List1!$F$15</f>
        <v>soupeř</v>
      </c>
      <c r="GA93" s="799" t="str">
        <f>[1]List1!$B$28</f>
        <v>body</v>
      </c>
      <c r="GB93" s="698" t="str">
        <f>[1]List1!$B$29</f>
        <v>tech. body</v>
      </c>
      <c r="GD93" s="705" t="str">
        <f>FL93</f>
        <v>body</v>
      </c>
      <c r="GE93" s="698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5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02">
        <f t="shared" si="390"/>
        <v>10000000000.000999</v>
      </c>
      <c r="DY94" s="702"/>
      <c r="DZ94" s="702"/>
      <c r="EA94" s="88">
        <f t="shared" si="391"/>
        <v>15</v>
      </c>
      <c r="EB94" s="88"/>
      <c r="EC94" s="702">
        <f t="shared" si="392"/>
        <v>10000000000.000999</v>
      </c>
      <c r="ED94" s="702"/>
      <c r="EE94" s="702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06"/>
      <c r="EQ94" s="792"/>
      <c r="ER94" s="699"/>
      <c r="ES94" s="706"/>
      <c r="ET94" s="792"/>
      <c r="EU94" s="699"/>
      <c r="EV94" s="706"/>
      <c r="EW94" s="792"/>
      <c r="EX94" s="699"/>
      <c r="EY94" s="706"/>
      <c r="EZ94" s="792"/>
      <c r="FA94" s="699"/>
      <c r="FB94" s="706"/>
      <c r="FC94" s="792"/>
      <c r="FD94" s="699"/>
      <c r="FE94" s="706"/>
      <c r="FF94" s="792"/>
      <c r="FG94" s="699"/>
      <c r="FH94" s="706"/>
      <c r="FI94" s="792"/>
      <c r="FJ94" s="699"/>
      <c r="FK94" s="706"/>
      <c r="FL94" s="792"/>
      <c r="FM94" s="699"/>
      <c r="FS94" s="719"/>
      <c r="FT94" s="706"/>
      <c r="FU94" s="792"/>
      <c r="FV94" s="699"/>
      <c r="FW94" s="706"/>
      <c r="FX94" s="792"/>
      <c r="FY94" s="699"/>
      <c r="FZ94" s="706"/>
      <c r="GA94" s="792"/>
      <c r="GB94" s="699"/>
      <c r="GD94" s="706"/>
      <c r="GE94" s="699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5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02">
        <f t="shared" si="390"/>
        <v>10000000000.000999</v>
      </c>
      <c r="DY95" s="702"/>
      <c r="DZ95" s="702"/>
      <c r="EA95" s="88">
        <f t="shared" si="391"/>
        <v>15</v>
      </c>
      <c r="EB95" s="88"/>
      <c r="EC95" s="702">
        <f t="shared" si="392"/>
        <v>10000000000.000999</v>
      </c>
      <c r="ED95" s="702"/>
      <c r="EE95" s="702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06"/>
      <c r="EQ95" s="792"/>
      <c r="ER95" s="699"/>
      <c r="ES95" s="706"/>
      <c r="ET95" s="792"/>
      <c r="EU95" s="699"/>
      <c r="EV95" s="706"/>
      <c r="EW95" s="792"/>
      <c r="EX95" s="699"/>
      <c r="EY95" s="706"/>
      <c r="EZ95" s="792"/>
      <c r="FA95" s="699"/>
      <c r="FB95" s="706"/>
      <c r="FC95" s="792"/>
      <c r="FD95" s="699"/>
      <c r="FE95" s="706"/>
      <c r="FF95" s="792"/>
      <c r="FG95" s="699"/>
      <c r="FH95" s="706"/>
      <c r="FI95" s="792"/>
      <c r="FJ95" s="699"/>
      <c r="FK95" s="706"/>
      <c r="FL95" s="792"/>
      <c r="FM95" s="699"/>
      <c r="FS95" s="719"/>
      <c r="FT95" s="706"/>
      <c r="FU95" s="792"/>
      <c r="FV95" s="699"/>
      <c r="FW95" s="706"/>
      <c r="FX95" s="792"/>
      <c r="FY95" s="699"/>
      <c r="FZ95" s="706"/>
      <c r="GA95" s="792"/>
      <c r="GB95" s="699"/>
      <c r="GD95" s="706"/>
      <c r="GE95" s="699"/>
      <c r="GH95" s="374">
        <f>FS97</f>
        <v>5</v>
      </c>
      <c r="GI95" s="374">
        <f>FS98</f>
        <v>6</v>
      </c>
      <c r="GK95" s="678" t="str">
        <f>GK77</f>
        <v>1. repas</v>
      </c>
      <c r="GL95" s="678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5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4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02">
        <f t="shared" si="390"/>
        <v>10000000000.000999</v>
      </c>
      <c r="DY96" s="702"/>
      <c r="DZ96" s="702"/>
      <c r="EA96" s="88">
        <f t="shared" si="391"/>
        <v>15</v>
      </c>
      <c r="EB96" s="338"/>
      <c r="EC96" s="708">
        <f t="shared" si="392"/>
        <v>10000000000.000999</v>
      </c>
      <c r="ED96" s="708"/>
      <c r="EE96" s="708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07"/>
      <c r="EQ96" s="800"/>
      <c r="ER96" s="700"/>
      <c r="ES96" s="707"/>
      <c r="ET96" s="800"/>
      <c r="EU96" s="700"/>
      <c r="EV96" s="707"/>
      <c r="EW96" s="800"/>
      <c r="EX96" s="700"/>
      <c r="EY96" s="707"/>
      <c r="EZ96" s="800"/>
      <c r="FA96" s="700"/>
      <c r="FB96" s="707"/>
      <c r="FC96" s="800"/>
      <c r="FD96" s="700"/>
      <c r="FE96" s="707"/>
      <c r="FF96" s="800"/>
      <c r="FG96" s="700"/>
      <c r="FH96" s="707"/>
      <c r="FI96" s="800"/>
      <c r="FJ96" s="700"/>
      <c r="FK96" s="707"/>
      <c r="FL96" s="800"/>
      <c r="FM96" s="700"/>
      <c r="FS96" s="720"/>
      <c r="FT96" s="707"/>
      <c r="FU96" s="800"/>
      <c r="FV96" s="700"/>
      <c r="FW96" s="707"/>
      <c r="FX96" s="800"/>
      <c r="FY96" s="700"/>
      <c r="FZ96" s="707"/>
      <c r="GA96" s="800"/>
      <c r="GB96" s="700"/>
      <c r="GD96" s="707"/>
      <c r="GE96" s="700"/>
      <c r="GH96" s="374">
        <f>FS99</f>
        <v>7</v>
      </c>
      <c r="GI96" s="374">
        <f>FS97</f>
        <v>5</v>
      </c>
      <c r="GY96" s="405">
        <f t="shared" si="378"/>
        <v>5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5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5</v>
      </c>
      <c r="BY97" s="529">
        <f>IF(E40=$BQ$2,0,(IF(E40="",0,E40)))</f>
        <v>6</v>
      </c>
      <c r="BZ97" s="530">
        <f>F40</f>
        <v>0</v>
      </c>
      <c r="CA97" s="531">
        <f>F41</f>
        <v>0</v>
      </c>
      <c r="CB97" s="529">
        <f>IF(H40=$BQ$2,0,(IF(H40="",0,H40)))</f>
        <v>7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94</v>
      </c>
      <c r="DI97" s="374">
        <f t="shared" si="380"/>
        <v>17</v>
      </c>
      <c r="DJ97" s="385">
        <f t="shared" si="375"/>
        <v>5</v>
      </c>
      <c r="DK97" s="351">
        <f t="shared" si="381"/>
        <v>1</v>
      </c>
      <c r="DL97" s="570">
        <f t="shared" si="382"/>
        <v>0</v>
      </c>
      <c r="DM97" s="572">
        <f t="shared" si="383"/>
        <v>0</v>
      </c>
      <c r="DN97" s="623" t="str">
        <f>IF(AD40="","",1)</f>
        <v/>
      </c>
      <c r="DP97" s="374">
        <f t="shared" si="384"/>
        <v>5</v>
      </c>
      <c r="DQ97" s="354">
        <f t="shared" si="385"/>
        <v>1</v>
      </c>
      <c r="DR97" s="632" t="str">
        <f>AC40</f>
        <v>F</v>
      </c>
      <c r="DS97" s="354">
        <f t="shared" si="386"/>
        <v>0</v>
      </c>
      <c r="DT97" s="354">
        <f t="shared" si="387"/>
        <v>0</v>
      </c>
      <c r="DU97" s="354">
        <f t="shared" si="388"/>
        <v>0</v>
      </c>
      <c r="DV97" s="601">
        <f t="shared" si="389"/>
        <v>5</v>
      </c>
      <c r="DW97" s="628">
        <f>IF(DQ97=$BK$2,0,(IF(BP40&gt;1,1,0)))</f>
        <v>1</v>
      </c>
      <c r="DX97" s="702">
        <f t="shared" ref="DX97:DX112" si="415">IF(DJ97="",$DX$76+0.001,((IF(DQ97=$BK$2,$DX$76,(((((((((300)-(DW97*100)+DL97)*10+DV97)*100+DM97)*10+DS97)*10+DT97)*10)+DU97)*100+DH97)))+0.01*DJ97+0.001))</f>
        <v>20050000094.050999</v>
      </c>
      <c r="DY97" s="702"/>
      <c r="DZ97" s="702"/>
      <c r="EA97" s="88">
        <f t="shared" si="391"/>
        <v>15</v>
      </c>
      <c r="EB97" s="373"/>
      <c r="EC97" s="713">
        <f>IF(DQ97=$BK$2,DX97,(LARGE($DX$97:$DX$112,DQ97)))</f>
        <v>31071210093.061001</v>
      </c>
      <c r="ED97" s="713"/>
      <c r="EE97" s="713"/>
      <c r="EF97" s="354"/>
      <c r="EG97" s="354">
        <f>LEN(EC97)</f>
        <v>15</v>
      </c>
      <c r="EH97" s="354"/>
      <c r="EI97" s="606"/>
      <c r="EJ97" s="653">
        <f t="shared" si="394"/>
        <v>6</v>
      </c>
      <c r="EK97" s="354"/>
      <c r="EL97" s="354">
        <f>EJ97</f>
        <v>6</v>
      </c>
      <c r="EM97" s="393" t="str">
        <f>AC40</f>
        <v>F</v>
      </c>
      <c r="EN97" s="393">
        <f t="shared" si="376"/>
        <v>5</v>
      </c>
      <c r="EO97" s="393">
        <f>SMALL($EN$97:$EN$112,DQ97)</f>
        <v>5</v>
      </c>
      <c r="EP97" s="529">
        <f>VALUE(INDEX($BY$97:$BY$112,EO97-$DU$114))</f>
        <v>6</v>
      </c>
      <c r="EQ97" s="530">
        <f>INDEX($BZ$97:$BZ$112,EO97-$DU$114)</f>
        <v>0</v>
      </c>
      <c r="ER97" s="530">
        <f>INDEX($CA$97:$CA$112,EO97-$DU$114)</f>
        <v>0</v>
      </c>
      <c r="ES97" s="529">
        <f>VALUE(INDEX($CB$97:$CB$112,EO97-$DU$114))</f>
        <v>7</v>
      </c>
      <c r="ET97" s="530">
        <f>INDEX($CC$97:$CC$112,EO97-$DU$114)</f>
        <v>0</v>
      </c>
      <c r="EU97" s="531">
        <f>INDEX($CD$97:$CD$112,EO97-$DU$114)</f>
        <v>0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5</v>
      </c>
      <c r="FT97" s="353">
        <f>FS98</f>
        <v>6</v>
      </c>
      <c r="FU97" s="378">
        <f>IF(FT97=$EN$76,"",(IF(FT97=EP97,EQ97,IF(FT97=ES97,ET97,IF(FT97=EV97,EW97,IF(FT97=EY97,EZ97,IF(FT97=FB97,FC97,IF(FT97=FE97,FF97,IF(FT97=FH97,FI97,IF(FT97=FK97,FL97,""))))))))))</f>
        <v>0</v>
      </c>
      <c r="FV97" s="379">
        <f>IF(FT97=$EN$76,"",(IF(FT97=EP97,ER97,IF(FT97=ES97,EU97,IF(FT97=EV97,EX97,IF(FT97=EY97,FA97,IF(FT97=FB97,FD97,IF(FT97=FE97,FG97,IF(FT97=FH97,FJ97,IF(FT97=FK97,FM97,""))))))))))</f>
        <v>0</v>
      </c>
      <c r="FW97" s="353">
        <f>FS99</f>
        <v>7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0</v>
      </c>
      <c r="GE97" s="383">
        <f t="shared" si="416"/>
        <v>0</v>
      </c>
      <c r="GH97" s="374">
        <f>FZ98</f>
        <v>7</v>
      </c>
      <c r="GI97" s="374">
        <f>FZ99</f>
        <v>6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6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5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6</v>
      </c>
      <c r="BY98" s="532">
        <f>IF(E42=$BQ$2,0,(IF(E42="",0,E42)))</f>
        <v>5</v>
      </c>
      <c r="BZ98" s="165">
        <f>F42</f>
        <v>5</v>
      </c>
      <c r="CA98" s="533">
        <f>F43</f>
        <v>8</v>
      </c>
      <c r="CB98" s="532">
        <f>IF(H42=$BQ$2,0,(IF(H42="",0,H42)))</f>
        <v>0</v>
      </c>
      <c r="CC98" s="165">
        <f>I42</f>
        <v>0</v>
      </c>
      <c r="CD98" s="533">
        <f>I43</f>
        <v>0</v>
      </c>
      <c r="CE98" s="532">
        <f>IF(K42=$BQ$2,0,(IF(K42="",0,K42)))</f>
        <v>7</v>
      </c>
      <c r="CF98" s="165">
        <f>L42</f>
        <v>5</v>
      </c>
      <c r="CG98" s="533">
        <f>L43</f>
        <v>4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93</v>
      </c>
      <c r="DI98" s="374">
        <f t="shared" si="380"/>
        <v>18</v>
      </c>
      <c r="DJ98" s="385">
        <f t="shared" si="375"/>
        <v>6</v>
      </c>
      <c r="DK98" s="346">
        <f t="shared" si="381"/>
        <v>2</v>
      </c>
      <c r="DL98" s="567">
        <f t="shared" si="382"/>
        <v>10</v>
      </c>
      <c r="DM98" s="569">
        <f t="shared" si="383"/>
        <v>12</v>
      </c>
      <c r="DN98" s="623" t="str">
        <f>IF(AD42="","",1)</f>
        <v/>
      </c>
      <c r="DP98" s="374">
        <f t="shared" si="384"/>
        <v>6</v>
      </c>
      <c r="DQ98" s="346">
        <f t="shared" si="385"/>
        <v>2</v>
      </c>
      <c r="DR98" s="632" t="str">
        <f>AC42</f>
        <v>F</v>
      </c>
      <c r="DS98" s="346">
        <f t="shared" si="386"/>
        <v>1</v>
      </c>
      <c r="DT98" s="346">
        <f t="shared" si="387"/>
        <v>0</v>
      </c>
      <c r="DU98" s="346">
        <f t="shared" si="388"/>
        <v>0</v>
      </c>
      <c r="DV98" s="600">
        <f t="shared" si="389"/>
        <v>7</v>
      </c>
      <c r="DW98" s="629">
        <f>IF(DQ98=$BK$2,0,(IF(BP42&gt;1,1,0)))</f>
        <v>0</v>
      </c>
      <c r="DX98" s="702">
        <f t="shared" si="415"/>
        <v>31071210093.061001</v>
      </c>
      <c r="DY98" s="702"/>
      <c r="DZ98" s="702"/>
      <c r="EA98" s="88">
        <f t="shared" si="391"/>
        <v>15</v>
      </c>
      <c r="EB98" s="88"/>
      <c r="EC98" s="704">
        <f t="shared" ref="EC98:EC112" si="417">IF(DQ98=$BK$2,DX98,(LARGE($DX$97:$DX$112,DQ98)))</f>
        <v>30560410092.070999</v>
      </c>
      <c r="ED98" s="704"/>
      <c r="EE98" s="704"/>
      <c r="EF98" s="352"/>
      <c r="EG98" s="352">
        <f t="shared" ref="EG98:EG112" si="418">LEN(EC98)</f>
        <v>15</v>
      </c>
      <c r="EH98" s="352"/>
      <c r="EJ98" s="653">
        <f t="shared" si="394"/>
        <v>7</v>
      </c>
      <c r="EK98" s="352"/>
      <c r="EL98" s="352">
        <f>EJ98</f>
        <v>7</v>
      </c>
      <c r="EM98" s="393" t="str">
        <f>AC42</f>
        <v>F</v>
      </c>
      <c r="EN98" s="393">
        <f t="shared" si="376"/>
        <v>6</v>
      </c>
      <c r="EO98" s="393">
        <f>SMALL($EN$97:$EN$112,DQ98)</f>
        <v>6</v>
      </c>
      <c r="EP98" s="532">
        <f>VALUE(INDEX($BY$97:$BY$112,EO98-$DU$114))</f>
        <v>5</v>
      </c>
      <c r="EQ98" s="165">
        <f>INDEX($BZ$97:$BZ$112,EO98-$DU$114)</f>
        <v>5</v>
      </c>
      <c r="ER98" s="165">
        <f>INDEX($CA$97:$CA$112,EO98-$DU$114)</f>
        <v>8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7</v>
      </c>
      <c r="EW98" s="165">
        <f>INDEX($CF$97:$CF$112,EO98-$DU$114)</f>
        <v>5</v>
      </c>
      <c r="EX98" s="165">
        <f>INDEX($CG$97:$CG$112,EO98-$DU$114)</f>
        <v>4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6</v>
      </c>
      <c r="FT98" s="356">
        <f>FS97</f>
        <v>5</v>
      </c>
      <c r="FU98" s="381">
        <f>IF(FT98=$EN$76,"",(IF(FT98=EP98,EQ98,IF(FT98=ES98,ET98,IF(FT98=EV98,EW98,IF(FT98=EY98,EZ98,IF(FT98=FB98,FC98,IF(FT98=FE98,FF98,IF(FT98=FH98,FI98,IF(FT98=FK98,FL98,""))))))))))</f>
        <v>5</v>
      </c>
      <c r="FV98" s="383">
        <f>IF(FT98=$EN$76,"",(IF(FT98=EP98,ER98,IF(FT98=ES98,EU98,IF(FT98=EV98,EX98,IF(FT98=EY98,FA98,IF(FT98=FB98,FD98,IF(FT98=FE98,FG98,IF(FT98=FH98,FJ98,IF(FT98=FK98,FM98,""))))))))))</f>
        <v>8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7</v>
      </c>
      <c r="GA98" s="381">
        <f>IF(FZ98=$EN$76,"",(IF(FZ98=EP98,EQ98,IF(FZ98=ES98,ET98,IF(FZ98=EV98,EW98,IF(FZ98=EY98,EZ98,IF(FZ98=FB98,FC98,IF(FZ98=FE98,FF98,IF(FZ98=FH98,FI98,IF(FZ98=FK98,FL98,""))))))))))</f>
        <v>5</v>
      </c>
      <c r="GB98" s="383">
        <f>IF(FZ98=$EN$76,"",(IF(FZ98=EP98,ER98,IF(FZ98=ES98,EU98,IF(FZ98=EV98,EX98,IF(FZ98=EY98,FA98,IF(FZ98=FB98,FD98,IF(FZ98=FE98,FG98,IF(FZ98=FH98,FJ98,IF(FZ98=FK98,FM98,""))))))))))</f>
        <v>4</v>
      </c>
      <c r="GD98" s="380">
        <f t="shared" si="416"/>
        <v>10</v>
      </c>
      <c r="GE98" s="383">
        <f t="shared" si="416"/>
        <v>12</v>
      </c>
      <c r="GH98" s="361"/>
      <c r="GI98" s="361"/>
      <c r="GY98" s="316">
        <f t="shared" si="378"/>
        <v>7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5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7</v>
      </c>
      <c r="BY99" s="532">
        <f>IF(E44=$BQ$2,0,(IF(E44="",0,E44)))</f>
        <v>0</v>
      </c>
      <c r="BZ99" s="165">
        <f>F44</f>
        <v>0</v>
      </c>
      <c r="CA99" s="533">
        <f>F45</f>
        <v>0</v>
      </c>
      <c r="CB99" s="532">
        <f>IF(H44=$BQ$2,0,(IF(H44="",0,H44)))</f>
        <v>5</v>
      </c>
      <c r="CC99" s="165">
        <f>I44</f>
        <v>5</v>
      </c>
      <c r="CD99" s="533">
        <f>I45</f>
        <v>4</v>
      </c>
      <c r="CE99" s="532">
        <f>IF(K44=$BQ$2,0,(IF(K44="",0,K44)))</f>
        <v>6</v>
      </c>
      <c r="CF99" s="165">
        <f>L44</f>
        <v>0</v>
      </c>
      <c r="CG99" s="533">
        <f>L45</f>
        <v>0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92</v>
      </c>
      <c r="DI99" s="374">
        <f t="shared" si="380"/>
        <v>19</v>
      </c>
      <c r="DJ99" s="385">
        <f t="shared" si="375"/>
        <v>7</v>
      </c>
      <c r="DK99" s="346">
        <f t="shared" si="381"/>
        <v>3</v>
      </c>
      <c r="DL99" s="567">
        <f t="shared" si="382"/>
        <v>5</v>
      </c>
      <c r="DM99" s="569">
        <f t="shared" si="383"/>
        <v>4</v>
      </c>
      <c r="DN99" s="623" t="str">
        <f>IF(AD44="","",1)</f>
        <v/>
      </c>
      <c r="DP99" s="374">
        <f t="shared" si="384"/>
        <v>7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6</v>
      </c>
      <c r="DW99" s="629">
        <f>IF(DQ99=$BK$2,0,(IF(BP44&gt;1,1,0)))</f>
        <v>0</v>
      </c>
      <c r="DX99" s="702">
        <f t="shared" si="415"/>
        <v>30560410092.070999</v>
      </c>
      <c r="DY99" s="702"/>
      <c r="DZ99" s="702"/>
      <c r="EA99" s="88">
        <f t="shared" si="391"/>
        <v>15</v>
      </c>
      <c r="EB99" s="88"/>
      <c r="EC99" s="704">
        <f t="shared" si="417"/>
        <v>20050000094.050999</v>
      </c>
      <c r="ED99" s="704"/>
      <c r="EE99" s="704"/>
      <c r="EF99" s="352"/>
      <c r="EG99" s="352">
        <f t="shared" si="418"/>
        <v>15</v>
      </c>
      <c r="EH99" s="352"/>
      <c r="EJ99" s="653">
        <f t="shared" si="394"/>
        <v>5</v>
      </c>
      <c r="EK99" s="352"/>
      <c r="EL99" s="352">
        <f>EJ99</f>
        <v>5</v>
      </c>
      <c r="EM99" s="393" t="str">
        <f>AC44</f>
        <v>F</v>
      </c>
      <c r="EN99" s="393">
        <f t="shared" si="376"/>
        <v>7</v>
      </c>
      <c r="EO99" s="393">
        <f>SMALL($EN$97:$EN$112,DQ99)</f>
        <v>7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5</v>
      </c>
      <c r="ET99" s="535">
        <f>INDEX($CC$97:$CC$112,EO99-$DU$114)</f>
        <v>5</v>
      </c>
      <c r="EU99" s="536">
        <f>INDEX($CD$97:$CD$112,EO99-$DU$114)</f>
        <v>4</v>
      </c>
      <c r="EV99" s="534">
        <f>VALUE(INDEX($CE$97:$CE$112,EO99-$DU$114))</f>
        <v>6</v>
      </c>
      <c r="EW99" s="535">
        <f>INDEX($CF$97:$CF$112,EO99-$DU$114)</f>
        <v>0</v>
      </c>
      <c r="EX99" s="535">
        <f>INDEX($CG$97:$CG$112,EO99-$DU$114)</f>
        <v>0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7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5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4</v>
      </c>
      <c r="FZ99" s="98">
        <f>FS98</f>
        <v>6</v>
      </c>
      <c r="GA99" s="98">
        <f>IF(FZ99=$EN$76,"",(IF(FZ99=EP99,EQ99,IF(FZ99=ES99,ET99,IF(FZ99=EV99,EW99,IF(FZ99=EY99,EZ99,IF(FZ99=FB99,FC99,IF(FZ99=FE99,FF99,IF(FZ99=FH99,FI99,IF(FZ99=FK99,FL99,""))))))))))</f>
        <v>0</v>
      </c>
      <c r="GB99" s="192">
        <f>IF(FZ99=$EN$76,"",(IF(FZ99=EP99,ER99,IF(FZ99=ES99,EU99,IF(FZ99=EV99,EX99,IF(FZ99=EY99,FA99,IF(FZ99=FB99,FD99,IF(FZ99=FE99,FG99,IF(FZ99=FH99,FJ99,IF(FZ99=FK99,FM99,""))))))))))</f>
        <v>0</v>
      </c>
      <c r="GD99" s="191">
        <f t="shared" si="416"/>
        <v>5</v>
      </c>
      <c r="GE99" s="192">
        <f t="shared" si="416"/>
        <v>4</v>
      </c>
      <c r="GH99" s="361"/>
      <c r="GI99" s="361"/>
      <c r="GY99" s="316" t="str">
        <f t="shared" si="378"/>
        <v/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5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 t="str">
        <f>D46</f>
        <v/>
      </c>
      <c r="BY100" s="532">
        <f>IF(E46=$BQ$2,0,(IF(E46="",0,E46)))</f>
        <v>0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99</v>
      </c>
      <c r="DI100" s="374">
        <f t="shared" si="380"/>
        <v>20</v>
      </c>
      <c r="DJ100" s="385" t="str">
        <f t="shared" si="375"/>
        <v/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 t="str">
        <f t="shared" si="384"/>
        <v/>
      </c>
      <c r="DQ100" s="346">
        <f t="shared" si="385"/>
        <v>999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702">
        <f t="shared" si="415"/>
        <v>10000000000.000999</v>
      </c>
      <c r="DY100" s="702"/>
      <c r="DZ100" s="702"/>
      <c r="EA100" s="88">
        <f t="shared" si="391"/>
        <v>15</v>
      </c>
      <c r="EB100" s="88"/>
      <c r="EC100" s="704">
        <f t="shared" si="417"/>
        <v>10000000000.000999</v>
      </c>
      <c r="ED100" s="704"/>
      <c r="EE100" s="704"/>
      <c r="EF100" s="352"/>
      <c r="EG100" s="352">
        <f t="shared" si="418"/>
        <v>15</v>
      </c>
      <c r="EH100" s="352"/>
      <c r="EJ100" s="653">
        <f t="shared" si="394"/>
        <v>0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78" t="str">
        <f>GK82</f>
        <v>2. repas</v>
      </c>
      <c r="GL100" s="678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5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702">
        <f t="shared" si="415"/>
        <v>10000000000.000999</v>
      </c>
      <c r="DY101" s="702"/>
      <c r="DZ101" s="702"/>
      <c r="EA101" s="88">
        <f t="shared" si="391"/>
        <v>15</v>
      </c>
      <c r="EB101" s="88"/>
      <c r="EC101" s="704">
        <f t="shared" si="417"/>
        <v>10000000000.000999</v>
      </c>
      <c r="ED101" s="704"/>
      <c r="EE101" s="704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5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02">
        <f t="shared" si="415"/>
        <v>10000000000.000999</v>
      </c>
      <c r="DY102" s="702"/>
      <c r="DZ102" s="702"/>
      <c r="EA102" s="88">
        <f t="shared" si="391"/>
        <v>15</v>
      </c>
      <c r="EB102" s="88"/>
      <c r="EC102" s="704">
        <f t="shared" si="417"/>
        <v>10000000000.000999</v>
      </c>
      <c r="ED102" s="704"/>
      <c r="EE102" s="704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5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02">
        <f t="shared" si="415"/>
        <v>10000000000.000999</v>
      </c>
      <c r="DY103" s="702"/>
      <c r="DZ103" s="702"/>
      <c r="EA103" s="88">
        <f t="shared" si="391"/>
        <v>15</v>
      </c>
      <c r="EB103" s="88"/>
      <c r="EC103" s="704">
        <f t="shared" si="417"/>
        <v>10000000000.000999</v>
      </c>
      <c r="ED103" s="704"/>
      <c r="EE103" s="704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5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02">
        <f t="shared" si="415"/>
        <v>10000000000.000999</v>
      </c>
      <c r="DY104" s="702"/>
      <c r="DZ104" s="702"/>
      <c r="EA104" s="88">
        <f t="shared" si="391"/>
        <v>15</v>
      </c>
      <c r="EB104" s="88"/>
      <c r="EC104" s="704">
        <f t="shared" si="417"/>
        <v>10000000000.000999</v>
      </c>
      <c r="ED104" s="704"/>
      <c r="EE104" s="704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5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6</v>
      </c>
      <c r="AI105" s="463">
        <f t="shared" si="421"/>
        <v>7</v>
      </c>
      <c r="AJ105" s="463">
        <f t="shared" si="421"/>
        <v>7</v>
      </c>
      <c r="AM105" s="463">
        <f t="shared" ref="AM105:AO120" si="422">AM40</f>
        <v>6</v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02">
        <f t="shared" si="415"/>
        <v>10000000000.000999</v>
      </c>
      <c r="DY105" s="702"/>
      <c r="DZ105" s="702"/>
      <c r="EA105" s="88">
        <f t="shared" si="391"/>
        <v>15</v>
      </c>
      <c r="EB105" s="88"/>
      <c r="EC105" s="704">
        <f t="shared" si="417"/>
        <v>10000000000.000999</v>
      </c>
      <c r="ED105" s="704"/>
      <c r="EE105" s="704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5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7</v>
      </c>
      <c r="AI106" s="463">
        <f t="shared" si="421"/>
        <v>0</v>
      </c>
      <c r="AJ106" s="463">
        <f t="shared" si="421"/>
        <v>6</v>
      </c>
      <c r="AM106" s="463">
        <f t="shared" si="422"/>
        <v>7</v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02">
        <f t="shared" si="415"/>
        <v>10000000000.000999</v>
      </c>
      <c r="DY106" s="702"/>
      <c r="DZ106" s="702"/>
      <c r="EA106" s="88">
        <f t="shared" si="391"/>
        <v>15</v>
      </c>
      <c r="EB106" s="88"/>
      <c r="EC106" s="704">
        <f t="shared" si="417"/>
        <v>10000000000.000999</v>
      </c>
      <c r="ED106" s="704"/>
      <c r="EE106" s="704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09" t="str">
        <f>[1]List1!$A$23</f>
        <v>1. repas</v>
      </c>
      <c r="GD106" s="709"/>
      <c r="GE106" s="484"/>
      <c r="GF106" s="709" t="str">
        <f>[1]List1!$A$24</f>
        <v>2. repas</v>
      </c>
      <c r="GG106" s="709"/>
      <c r="GH106" s="484"/>
      <c r="GI106" s="709" t="str">
        <f>[1]List1!$A$25</f>
        <v>3. repas</v>
      </c>
      <c r="GJ106" s="709"/>
      <c r="GO106" s="709" t="str">
        <f>[1]List1!$A$23</f>
        <v>1. repas</v>
      </c>
      <c r="GP106" s="709"/>
      <c r="GR106" s="709" t="str">
        <f>[1]List1!$A$24</f>
        <v>2. repas</v>
      </c>
      <c r="GS106" s="709"/>
      <c r="GU106" s="709" t="str">
        <f>[1]List1!$A$25</f>
        <v>3. repas</v>
      </c>
      <c r="GV106" s="709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5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 t="str">
        <f t="shared" si="421"/>
        <v/>
      </c>
      <c r="AI107" s="463">
        <f t="shared" si="421"/>
        <v>0</v>
      </c>
      <c r="AJ107" s="463" t="str">
        <f t="shared" si="421"/>
        <v/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02">
        <f t="shared" si="415"/>
        <v>10000000000.000999</v>
      </c>
      <c r="DY107" s="702"/>
      <c r="DZ107" s="702"/>
      <c r="EA107" s="88">
        <f t="shared" si="391"/>
        <v>15</v>
      </c>
      <c r="EB107" s="88"/>
      <c r="EC107" s="704">
        <f t="shared" si="417"/>
        <v>10000000000.000999</v>
      </c>
      <c r="ED107" s="704"/>
      <c r="EE107" s="704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5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02">
        <f t="shared" si="415"/>
        <v>10000000000.000999</v>
      </c>
      <c r="DY108" s="702"/>
      <c r="DZ108" s="702"/>
      <c r="EA108" s="88">
        <f t="shared" si="391"/>
        <v>15</v>
      </c>
      <c r="EB108" s="88"/>
      <c r="EC108" s="704">
        <f t="shared" si="417"/>
        <v>10000000000.000999</v>
      </c>
      <c r="ED108" s="704"/>
      <c r="EE108" s="704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3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5</v>
      </c>
      <c r="GP108" s="495">
        <f>FS98</f>
        <v>6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5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02">
        <f t="shared" si="415"/>
        <v>10000000000.000999</v>
      </c>
      <c r="DY109" s="702"/>
      <c r="DZ109" s="702"/>
      <c r="EA109" s="88">
        <f t="shared" si="391"/>
        <v>15</v>
      </c>
      <c r="EB109" s="88"/>
      <c r="EC109" s="704">
        <f t="shared" si="417"/>
        <v>10000000000.000999</v>
      </c>
      <c r="ED109" s="704"/>
      <c r="EE109" s="704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4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7</v>
      </c>
      <c r="GS109" s="495">
        <f>FS97</f>
        <v>5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5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02">
        <f t="shared" si="415"/>
        <v>10000000000.000999</v>
      </c>
      <c r="DY110" s="702"/>
      <c r="DZ110" s="702"/>
      <c r="EA110" s="88">
        <f t="shared" si="391"/>
        <v>15</v>
      </c>
      <c r="EB110" s="88"/>
      <c r="EC110" s="704">
        <f t="shared" si="417"/>
        <v>10000000000.000999</v>
      </c>
      <c r="ED110" s="704"/>
      <c r="EE110" s="704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3</v>
      </c>
      <c r="GE110" s="495"/>
      <c r="GF110" s="495">
        <f>GF109</f>
        <v>4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5</v>
      </c>
      <c r="GP110" s="495">
        <f>GP108</f>
        <v>6</v>
      </c>
      <c r="GQ110" s="495"/>
      <c r="GR110" s="495">
        <f>GR109</f>
        <v>7</v>
      </c>
      <c r="GS110" s="495">
        <f>GS109</f>
        <v>5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5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02">
        <f t="shared" si="415"/>
        <v>10000000000.000999</v>
      </c>
      <c r="DY111" s="702"/>
      <c r="DZ111" s="702"/>
      <c r="EA111" s="88">
        <f t="shared" si="391"/>
        <v>15</v>
      </c>
      <c r="EB111" s="88"/>
      <c r="EC111" s="704">
        <f t="shared" si="417"/>
        <v>10000000000.000999</v>
      </c>
      <c r="ED111" s="704"/>
      <c r="EE111" s="704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7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3</v>
      </c>
      <c r="GJ111" s="496">
        <f>FS83</f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6</v>
      </c>
      <c r="GV111" s="496">
        <f>FS99</f>
        <v>7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5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02">
        <f t="shared" si="415"/>
        <v>10000000000.000999</v>
      </c>
      <c r="DY112" s="702"/>
      <c r="DZ112" s="702"/>
      <c r="EA112" s="88">
        <f t="shared" si="391"/>
        <v>15</v>
      </c>
      <c r="EB112" s="88"/>
      <c r="EC112" s="704">
        <f t="shared" si="417"/>
        <v>10000000000.000999</v>
      </c>
      <c r="ED112" s="704"/>
      <c r="EE112" s="704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03" t="str">
        <f>[1]List1!$A$11</f>
        <v>Tabulka kvalifikace</v>
      </c>
      <c r="FK112" s="703"/>
      <c r="FL112" s="703"/>
      <c r="FM112" s="703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3</v>
      </c>
      <c r="GE112" s="495"/>
      <c r="GF112" s="495"/>
      <c r="GG112" s="495"/>
      <c r="GH112" s="495"/>
      <c r="GI112" s="495">
        <f>GI111</f>
        <v>3</v>
      </c>
      <c r="GJ112" s="496">
        <f>GJ111</f>
        <v>4</v>
      </c>
      <c r="GN112" s="274">
        <v>5</v>
      </c>
      <c r="GO112" s="497">
        <f>GO108</f>
        <v>5</v>
      </c>
      <c r="GP112" s="495">
        <f>GP108</f>
        <v>6</v>
      </c>
      <c r="GQ112" s="495"/>
      <c r="GR112" s="495"/>
      <c r="GS112" s="495"/>
      <c r="GT112" s="495"/>
      <c r="GU112" s="495">
        <f t="shared" ref="GU112:GV114" si="426">GU111</f>
        <v>6</v>
      </c>
      <c r="GV112" s="496">
        <f t="shared" si="426"/>
        <v>7</v>
      </c>
      <c r="GY112" s="316"/>
      <c r="GZ112" s="376"/>
      <c r="HA112" s="381"/>
      <c r="HB112" s="381"/>
      <c r="HC112" s="406">
        <f>GY96</f>
        <v>5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5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4</v>
      </c>
      <c r="GG113" s="495">
        <f>GG110</f>
        <v>1</v>
      </c>
      <c r="GH113" s="495"/>
      <c r="GI113" s="495">
        <f>GI112</f>
        <v>3</v>
      </c>
      <c r="GJ113" s="496">
        <f>GJ112</f>
        <v>4</v>
      </c>
      <c r="GN113" s="274">
        <v>6</v>
      </c>
      <c r="GO113" s="497"/>
      <c r="GP113" s="495"/>
      <c r="GQ113" s="495"/>
      <c r="GR113" s="495">
        <f>GR110</f>
        <v>7</v>
      </c>
      <c r="GS113" s="495">
        <f>GS110</f>
        <v>5</v>
      </c>
      <c r="GT113" s="495"/>
      <c r="GU113" s="495">
        <f t="shared" si="426"/>
        <v>6</v>
      </c>
      <c r="GV113" s="496">
        <f t="shared" si="426"/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5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4</v>
      </c>
      <c r="EX114" s="583" t="s">
        <v>35</v>
      </c>
      <c r="FA114" s="583" t="s">
        <v>35</v>
      </c>
      <c r="FL114" s="703" t="str">
        <f>[1]List1!$C$23</f>
        <v>Finále</v>
      </c>
      <c r="FM114" s="703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3</v>
      </c>
      <c r="GE114" s="98"/>
      <c r="GF114" s="98">
        <f>GF113</f>
        <v>4</v>
      </c>
      <c r="GG114" s="98">
        <f>GG113</f>
        <v>1</v>
      </c>
      <c r="GH114" s="98"/>
      <c r="GI114" s="98">
        <f>GI112</f>
        <v>3</v>
      </c>
      <c r="GJ114" s="192">
        <f>GJ112</f>
        <v>4</v>
      </c>
      <c r="GN114" s="274">
        <v>7</v>
      </c>
      <c r="GO114" s="191">
        <f>GO108</f>
        <v>5</v>
      </c>
      <c r="GP114" s="98">
        <f>GP108</f>
        <v>6</v>
      </c>
      <c r="GQ114" s="98"/>
      <c r="GR114" s="98">
        <f>GR113</f>
        <v>7</v>
      </c>
      <c r="GS114" s="98">
        <f>GS113</f>
        <v>5</v>
      </c>
      <c r="GT114" s="98"/>
      <c r="GU114" s="98">
        <f t="shared" si="426"/>
        <v>6</v>
      </c>
      <c r="GV114" s="192">
        <f t="shared" si="426"/>
        <v>7</v>
      </c>
      <c r="GY114" s="316"/>
      <c r="GZ114" s="376"/>
      <c r="HA114" s="381"/>
      <c r="HB114" s="381"/>
      <c r="HC114" s="255">
        <f>GY97</f>
        <v>6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5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78" t="s">
        <v>42</v>
      </c>
      <c r="EG115" s="678"/>
      <c r="EH115" s="678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3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78" t="str">
        <f>'Tabulka finále'!A1</f>
        <v>Tabulka finále</v>
      </c>
      <c r="DM116" s="678"/>
      <c r="DN116" s="678"/>
      <c r="DO116" s="678"/>
      <c r="DR116" s="216">
        <v>9</v>
      </c>
      <c r="DT116" s="88"/>
      <c r="DU116" s="678">
        <v>10000000000</v>
      </c>
      <c r="DV116" s="678"/>
      <c r="DW116" s="678"/>
      <c r="DX116" s="678"/>
      <c r="DY116" s="678"/>
      <c r="DZ116" s="678"/>
      <c r="EB116" s="678" t="s">
        <v>41</v>
      </c>
      <c r="EC116" s="678"/>
      <c r="ED116" s="678"/>
      <c r="EF116" s="413" t="s">
        <v>25</v>
      </c>
      <c r="EJ116" s="625" t="s">
        <v>0</v>
      </c>
      <c r="EK116" s="413" t="s">
        <v>5</v>
      </c>
      <c r="EO116" s="413" t="s">
        <v>7</v>
      </c>
      <c r="FU116" s="710" t="str">
        <f>II38</f>
        <v>do tabulky</v>
      </c>
      <c r="FV116" s="711"/>
      <c r="FW116" s="712"/>
      <c r="GY116" s="316"/>
      <c r="GZ116" s="376"/>
      <c r="HA116" s="381"/>
      <c r="HB116" s="381"/>
      <c r="HC116" s="255">
        <f>GY98</f>
        <v>7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5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09" t="str">
        <f>DX80</f>
        <v>sens</v>
      </c>
      <c r="DY117" s="709"/>
      <c r="DZ117" s="709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5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4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>
        <f>IF(DP118=$DM$118,$DN$118,IF(DP118=$DM$119,$DN$119,IF(DP118=$DM$120,$DN$120,IF(DP118=$DM$121,$DN$121,IF(DP118=$DM$122,$DN$122,IF(DP118=$DM$123,$DN$123,""))))))</f>
        <v>2</v>
      </c>
      <c r="DS118" s="612">
        <f>IF(DR118="","",DP118)</f>
        <v>1</v>
      </c>
      <c r="DT118" s="612"/>
      <c r="DU118" s="713">
        <f>IF(FJ118="",(IF(DS118="",0,(9-DR118)*$DU$116+DS118+0.01*DS118+0.001)),0)</f>
        <v>70000000001.011002</v>
      </c>
      <c r="DV118" s="713"/>
      <c r="DW118" s="713"/>
      <c r="DX118" s="704">
        <f>IF(DP118=0,$DU$116+0.001,(IF(DN81=1,10000000099,(IF(DR118=$BH$1,10000000099,(IF(AD7="",(DX81+9000000000),10000000099)))))))</f>
        <v>40160820098.011002</v>
      </c>
      <c r="DY118" s="704"/>
      <c r="DZ118" s="704"/>
      <c r="EA118" s="373">
        <f>LEN(DX118)</f>
        <v>15</v>
      </c>
      <c r="EB118" s="713">
        <f>IF(DU118=0,DX118,DU118)</f>
        <v>70000000001.011002</v>
      </c>
      <c r="EC118" s="713"/>
      <c r="ED118" s="713"/>
      <c r="EE118" s="612"/>
      <c r="EF118" s="713">
        <f>LARGE($EB$118:$ED$149,BT118)</f>
        <v>80000000006.061005</v>
      </c>
      <c r="EG118" s="713"/>
      <c r="EH118" s="713"/>
      <c r="EI118" s="624">
        <f t="shared" ref="EI118:EI123" si="429">VALUE(MID(EF118,1,1))</f>
        <v>8</v>
      </c>
      <c r="EJ118" s="656">
        <f>VALUE(MID(EF118,EK118-5,2))</f>
        <v>6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86">
        <f>IF((VALUE((MID(EF118,1,1))))&gt;1,((MID(EF118,1,6))*100),(MID(EF118,2,EK118-3)))+0.001*EQ118</f>
        <v>80000000.005999997</v>
      </c>
      <c r="EP118" s="687"/>
      <c r="EQ118" s="55">
        <f>VALUE(MID(EF118,EK118-5,2))</f>
        <v>6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6</v>
      </c>
      <c r="EW118" s="703">
        <f>(100+EU118)*100+ET118</f>
        <v>10601</v>
      </c>
      <c r="EX118" s="703"/>
      <c r="EZ118" s="703">
        <f>IF(EM118&gt;32,(10000+($EU$149)*100+$ES$149),(SMALL($EW$118:$EX$149,EM118)))</f>
        <v>10102</v>
      </c>
      <c r="FA118" s="703"/>
      <c r="FC118" s="263">
        <f>LEN(EZ118)</f>
        <v>5</v>
      </c>
      <c r="FF118" s="263">
        <f>VALUE(MID(EZ118,2,2))</f>
        <v>1</v>
      </c>
      <c r="FG118" s="263">
        <f>(VALUE(MID(EZ118,FC118-1,2)))</f>
        <v>2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2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2</v>
      </c>
      <c r="FQ118" s="257">
        <f>IF(FJ118="",(IF($FN$114=1,(IF(FP118=0,"",FP118)),"")),FJ118)</f>
        <v>2</v>
      </c>
      <c r="FS118" s="257">
        <v>1</v>
      </c>
      <c r="FU118" s="416">
        <v>1</v>
      </c>
      <c r="FV118" s="417"/>
      <c r="FW118" s="418">
        <f>FQ118</f>
        <v>2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 t="str">
        <f>GY99</f>
        <v/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5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5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 t="str">
        <f t="shared" ref="DR119:DR149" si="434">IF(DP119=$DM$118,$DN$118,IF(DP119=$DM$119,$DN$119,IF(DP119=$DM$120,$DN$120,IF(DP119=$DM$121,$DN$121,IF(DP119=$DM$122,$DN$122,IF(DP119=$DM$123,$DN$123,""))))))</f>
        <v/>
      </c>
      <c r="DS119" s="607" t="str">
        <f t="shared" ref="DS119:DS149" si="435">IF(DR119="","",DP119)</f>
        <v/>
      </c>
      <c r="DT119" s="607"/>
      <c r="DU119" s="704">
        <f t="shared" ref="DU119:DU149" si="436">IF(FJ119="",(IF(DS119="",0,(9-DR119)*$DU$116+DS119+0.01*DS119+0.001)),0)</f>
        <v>0</v>
      </c>
      <c r="DV119" s="704"/>
      <c r="DW119" s="704"/>
      <c r="DX119" s="704">
        <f t="shared" ref="DX119:DX149" si="437">IF(DP119=0,$DU$116+0.001,(IF(DN82=1,10000000099,(IF(DR119=$BH$1,10000000099,(IF(AD8="",(DX82+9000000000),10000000099)))))))</f>
        <v>29050000097.021</v>
      </c>
      <c r="DY119" s="704"/>
      <c r="DZ119" s="704"/>
      <c r="EA119" s="55">
        <f t="shared" ref="EA119:EA149" si="438">LEN(DX119)</f>
        <v>15</v>
      </c>
      <c r="EB119" s="704">
        <f t="shared" ref="EB119:EB149" si="439">IF(DU119=0,DX119,DU119)</f>
        <v>29050000097.021</v>
      </c>
      <c r="EC119" s="704"/>
      <c r="ED119" s="704"/>
      <c r="EE119" s="607"/>
      <c r="EF119" s="704">
        <f t="shared" ref="EF119:EF149" si="440">LARGE($EB$118:$ED$149,BT119)</f>
        <v>70000000001.011002</v>
      </c>
      <c r="EG119" s="704"/>
      <c r="EH119" s="704"/>
      <c r="EI119" s="621">
        <f t="shared" si="429"/>
        <v>7</v>
      </c>
      <c r="EJ119" s="656">
        <f t="shared" ref="EJ119:EJ149" si="441">VALUE(MID(EF119,EK119-5,2))</f>
        <v>1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86">
        <f t="shared" ref="EO119:EO149" si="444">IF((VALUE((MID(EF119,1,1))))&gt;1,((MID(EF119,1,6))*100),(MID(EF119,2,EK119-3)))+0.001*EQ119</f>
        <v>70000000.001000002</v>
      </c>
      <c r="EP119" s="687"/>
      <c r="EQ119" s="55">
        <f>VALUE(MID(EF119,EK119-5,2))</f>
        <v>1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1</v>
      </c>
      <c r="EW119" s="703">
        <f t="shared" ref="EW119:EW149" si="447">(100+EU119)*100+ET119</f>
        <v>10102</v>
      </c>
      <c r="EX119" s="703"/>
      <c r="EZ119" s="703">
        <f t="shared" ref="EZ119:EZ149" si="448">IF(EM119&gt;32,(10000+($EU$149)*100+$ES$149),(SMALL($EW$118:$EX$149,EM119)))</f>
        <v>10206</v>
      </c>
      <c r="FA119" s="703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6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6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6</v>
      </c>
      <c r="FQ119" s="539">
        <f t="shared" ref="FQ119:FQ149" si="456">IF(FJ119="",(IF($FN$114=1,(IF(FP119=0,"",FP119)),"")),FJ119)</f>
        <v>6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5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3</v>
      </c>
      <c r="DN120" s="419">
        <f>'Tabulka finále'!CG35</f>
        <v>3</v>
      </c>
      <c r="DP120" s="583">
        <f t="shared" si="433"/>
        <v>3</v>
      </c>
      <c r="DR120" s="609">
        <f t="shared" si="434"/>
        <v>3</v>
      </c>
      <c r="DS120" s="607">
        <f t="shared" si="435"/>
        <v>3</v>
      </c>
      <c r="DT120" s="607"/>
      <c r="DU120" s="704">
        <f t="shared" si="436"/>
        <v>60000000003.030998</v>
      </c>
      <c r="DV120" s="704"/>
      <c r="DW120" s="704"/>
      <c r="DX120" s="704">
        <f t="shared" si="437"/>
        <v>39561410096.030998</v>
      </c>
      <c r="DY120" s="704"/>
      <c r="DZ120" s="704"/>
      <c r="EA120" s="55">
        <f t="shared" si="438"/>
        <v>15</v>
      </c>
      <c r="EB120" s="704">
        <f t="shared" si="439"/>
        <v>60000000003.030998</v>
      </c>
      <c r="EC120" s="704"/>
      <c r="ED120" s="704"/>
      <c r="EE120" s="607"/>
      <c r="EF120" s="704">
        <f t="shared" si="440"/>
        <v>60000000003.030998</v>
      </c>
      <c r="EG120" s="704"/>
      <c r="EH120" s="704"/>
      <c r="EI120" s="621">
        <f t="shared" si="429"/>
        <v>6</v>
      </c>
      <c r="EJ120" s="656">
        <f t="shared" si="441"/>
        <v>3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86">
        <f t="shared" si="444"/>
        <v>60000000.002999999</v>
      </c>
      <c r="EP120" s="687"/>
      <c r="EQ120" s="55">
        <f t="shared" ref="EQ120:EQ149" si="460">VALUE(MID(EF120,EK120-5,2))</f>
        <v>3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3</v>
      </c>
      <c r="EW120" s="703">
        <f t="shared" si="447"/>
        <v>10303</v>
      </c>
      <c r="EX120" s="703"/>
      <c r="EZ120" s="703">
        <f t="shared" si="448"/>
        <v>10303</v>
      </c>
      <c r="FA120" s="703"/>
      <c r="FC120" s="413">
        <f t="shared" si="449"/>
        <v>5</v>
      </c>
      <c r="FF120" s="413">
        <f>VALUE(MID(EZ120,2,2))</f>
        <v>3</v>
      </c>
      <c r="FG120" s="413">
        <f>(VALUE(MID(EZ120,FC120-1,2)))</f>
        <v>3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3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3</v>
      </c>
      <c r="FQ120" s="539">
        <f>IF(FJ120="",(IF($FN$114=1,(IF(FP120=0,"",FP120)),"")),FJ120)</f>
        <v>3</v>
      </c>
      <c r="FS120" s="257">
        <v>3</v>
      </c>
      <c r="FU120" s="416">
        <f>FU118+1</f>
        <v>2</v>
      </c>
      <c r="FV120" s="417"/>
      <c r="FW120" s="418">
        <f>FQ119</f>
        <v>6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5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7</v>
      </c>
      <c r="DN121" s="419">
        <f>'Tabulka finále'!CG36</f>
        <v>4</v>
      </c>
      <c r="DP121" s="583">
        <f t="shared" si="433"/>
        <v>4</v>
      </c>
      <c r="DR121" s="609" t="str">
        <f>IF(DP121=$DM$118,$DN$118,IF(DP121=$DM$119,$DN$119,IF(DP121=$DM$120,$DN$120,IF(DP121=$DM$121,$DN$121,IF(DP121=$DM$122,$DN$122,IF(DP121=$DM$123,$DN$123,""))))))</f>
        <v/>
      </c>
      <c r="DS121" s="607" t="str">
        <f t="shared" si="435"/>
        <v/>
      </c>
      <c r="DT121" s="607"/>
      <c r="DU121" s="704">
        <f t="shared" si="436"/>
        <v>0</v>
      </c>
      <c r="DV121" s="704"/>
      <c r="DW121" s="704"/>
      <c r="DX121" s="704">
        <f t="shared" si="437"/>
        <v>39862410095.041</v>
      </c>
      <c r="DY121" s="704"/>
      <c r="DZ121" s="704"/>
      <c r="EA121" s="55">
        <f t="shared" si="438"/>
        <v>15</v>
      </c>
      <c r="EB121" s="704">
        <f t="shared" si="439"/>
        <v>39862410095.041</v>
      </c>
      <c r="EC121" s="704"/>
      <c r="ED121" s="704"/>
      <c r="EE121" s="607"/>
      <c r="EF121" s="704">
        <f>LARGE($EB$118:$ED$149,BT121)</f>
        <v>50000000007.070999</v>
      </c>
      <c r="EG121" s="704"/>
      <c r="EH121" s="704"/>
      <c r="EI121" s="621">
        <f t="shared" si="429"/>
        <v>5</v>
      </c>
      <c r="EJ121" s="656">
        <f t="shared" si="441"/>
        <v>7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86">
        <f t="shared" si="444"/>
        <v>50000000.006999999</v>
      </c>
      <c r="EP121" s="687"/>
      <c r="EQ121" s="55">
        <f t="shared" si="460"/>
        <v>7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7</v>
      </c>
      <c r="EW121" s="703">
        <f t="shared" si="447"/>
        <v>10704</v>
      </c>
      <c r="EX121" s="703"/>
      <c r="EZ121" s="703">
        <f t="shared" si="448"/>
        <v>10405</v>
      </c>
      <c r="FA121" s="703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5</v>
      </c>
      <c r="FI121" s="413">
        <f t="shared" si="451"/>
        <v>4</v>
      </c>
      <c r="FJ121" s="539" t="str">
        <f>IF(AD13="","",$FJ$115)</f>
        <v/>
      </c>
      <c r="FK121" s="413">
        <f t="shared" si="452"/>
        <v>5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5</v>
      </c>
      <c r="FQ121" s="539">
        <f t="shared" si="456"/>
        <v>5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5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1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4">
        <f t="shared" si="436"/>
        <v>0</v>
      </c>
      <c r="DV122" s="704"/>
      <c r="DW122" s="704"/>
      <c r="DX122" s="704">
        <f t="shared" si="437"/>
        <v>10000000000.000999</v>
      </c>
      <c r="DY122" s="704"/>
      <c r="DZ122" s="704"/>
      <c r="EA122" s="55">
        <f t="shared" si="438"/>
        <v>15</v>
      </c>
      <c r="EB122" s="704">
        <f t="shared" si="439"/>
        <v>10000000000.000999</v>
      </c>
      <c r="EC122" s="704"/>
      <c r="ED122" s="704"/>
      <c r="EE122" s="607"/>
      <c r="EF122" s="704">
        <f>LARGE($EB$118:$ED$149,BT122)</f>
        <v>39862410095.041</v>
      </c>
      <c r="EG122" s="704"/>
      <c r="EH122" s="704"/>
      <c r="EI122" s="621">
        <f t="shared" si="429"/>
        <v>3</v>
      </c>
      <c r="EJ122" s="656">
        <f t="shared" si="441"/>
        <v>95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86">
        <f t="shared" si="444"/>
        <v>39862400.094999999</v>
      </c>
      <c r="EP122" s="687"/>
      <c r="EQ122" s="55">
        <f t="shared" si="460"/>
        <v>95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4</v>
      </c>
      <c r="EW122" s="703">
        <f>(100+EU122)*100+ET122</f>
        <v>10405</v>
      </c>
      <c r="EX122" s="703"/>
      <c r="EZ122" s="703">
        <f>IF(EM122&gt;32,(10000+($EU$149)*100+$ES$149),(SMALL($EW$118:$EX$149,EM122)))</f>
        <v>10507</v>
      </c>
      <c r="FA122" s="703"/>
      <c r="FC122" s="413">
        <f t="shared" si="449"/>
        <v>5</v>
      </c>
      <c r="FF122" s="413">
        <f>VALUE(MID(EZ122,2,2))</f>
        <v>5</v>
      </c>
      <c r="FG122" s="413">
        <f>(VALUE(MID(EZ122,FC122-1,2)))</f>
        <v>7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3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3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6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4">
        <f t="shared" si="436"/>
        <v>0</v>
      </c>
      <c r="DV123" s="704"/>
      <c r="DW123" s="704"/>
      <c r="DX123" s="704">
        <f t="shared" si="437"/>
        <v>10000000000.000999</v>
      </c>
      <c r="DY123" s="704"/>
      <c r="DZ123" s="704"/>
      <c r="EA123" s="55">
        <f t="shared" si="438"/>
        <v>15</v>
      </c>
      <c r="EB123" s="704">
        <f t="shared" si="439"/>
        <v>10000000000.000999</v>
      </c>
      <c r="EC123" s="704"/>
      <c r="ED123" s="704"/>
      <c r="EE123" s="607"/>
      <c r="EF123" s="704">
        <f t="shared" si="440"/>
        <v>29050000097.021</v>
      </c>
      <c r="EG123" s="704"/>
      <c r="EH123" s="704"/>
      <c r="EI123" s="621">
        <f t="shared" si="429"/>
        <v>2</v>
      </c>
      <c r="EJ123" s="656">
        <f t="shared" si="441"/>
        <v>97</v>
      </c>
      <c r="EK123" s="607">
        <f t="shared" si="442"/>
        <v>15</v>
      </c>
      <c r="EL123" s="607">
        <f>IF(EI123=EI122,1,0)</f>
        <v>0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86">
        <f t="shared" si="444"/>
        <v>29050000.096999999</v>
      </c>
      <c r="EP123" s="687"/>
      <c r="EQ123" s="55">
        <f t="shared" si="460"/>
        <v>97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2</v>
      </c>
      <c r="EW123" s="703">
        <f>(100+EU123)*100+ET123</f>
        <v>10206</v>
      </c>
      <c r="EX123" s="703"/>
      <c r="EZ123" s="703">
        <f t="shared" si="448"/>
        <v>10601</v>
      </c>
      <c r="FA123" s="703"/>
      <c r="FC123" s="413">
        <f t="shared" si="449"/>
        <v>5</v>
      </c>
      <c r="FF123" s="413">
        <f>VALUE(MID(EZ123,2,2))</f>
        <v>6</v>
      </c>
      <c r="FG123" s="413">
        <f t="shared" si="464"/>
        <v>1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3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4">
        <f t="shared" si="436"/>
        <v>0</v>
      </c>
      <c r="DV124" s="704"/>
      <c r="DW124" s="704"/>
      <c r="DX124" s="704">
        <f t="shared" si="437"/>
        <v>10000000000.000999</v>
      </c>
      <c r="DY124" s="704"/>
      <c r="DZ124" s="704"/>
      <c r="EA124" s="55">
        <f t="shared" si="438"/>
        <v>15</v>
      </c>
      <c r="EB124" s="704">
        <f t="shared" si="439"/>
        <v>10000000000.000999</v>
      </c>
      <c r="EC124" s="704"/>
      <c r="ED124" s="704"/>
      <c r="EE124" s="607"/>
      <c r="EF124" s="704">
        <f>LARGE($EB$118:$ED$149,BT124)</f>
        <v>29050000094.050999</v>
      </c>
      <c r="EG124" s="704"/>
      <c r="EH124" s="704"/>
      <c r="EI124" s="607"/>
      <c r="EJ124" s="656">
        <f t="shared" si="441"/>
        <v>94</v>
      </c>
      <c r="EK124" s="607">
        <f t="shared" si="442"/>
        <v>15</v>
      </c>
      <c r="EL124" s="607"/>
      <c r="EM124" s="607">
        <f t="shared" si="443"/>
        <v>7</v>
      </c>
      <c r="EN124" s="608"/>
      <c r="EO124" s="686">
        <f t="shared" si="444"/>
        <v>29050000.094000001</v>
      </c>
      <c r="EP124" s="687"/>
      <c r="EQ124" s="55">
        <f t="shared" si="460"/>
        <v>94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5</v>
      </c>
      <c r="EW124" s="703">
        <f>(100+EU124)*100+ET124</f>
        <v>10507</v>
      </c>
      <c r="EX124" s="703"/>
      <c r="EZ124" s="703">
        <f t="shared" si="448"/>
        <v>10704</v>
      </c>
      <c r="FA124" s="703"/>
      <c r="FC124" s="413">
        <f t="shared" si="449"/>
        <v>5</v>
      </c>
      <c r="FF124" s="413">
        <f t="shared" si="450"/>
        <v>7</v>
      </c>
      <c r="FG124" s="413">
        <f t="shared" si="464"/>
        <v>4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5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5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4">
        <f t="shared" si="436"/>
        <v>0</v>
      </c>
      <c r="DV125" s="704"/>
      <c r="DW125" s="704"/>
      <c r="DX125" s="704">
        <f t="shared" si="437"/>
        <v>10000000000.000999</v>
      </c>
      <c r="DY125" s="704"/>
      <c r="DZ125" s="704"/>
      <c r="EA125" s="55">
        <f t="shared" si="438"/>
        <v>15</v>
      </c>
      <c r="EB125" s="704">
        <f t="shared" si="439"/>
        <v>10000000000.000999</v>
      </c>
      <c r="EC125" s="704"/>
      <c r="ED125" s="704"/>
      <c r="EE125" s="607"/>
      <c r="EF125" s="704">
        <f>LARGE($EB$118:$ED$149,BT125)</f>
        <v>10000000000.000999</v>
      </c>
      <c r="EG125" s="704"/>
      <c r="EH125" s="704"/>
      <c r="EI125" s="607"/>
      <c r="EJ125" s="656">
        <f t="shared" si="441"/>
        <v>0</v>
      </c>
      <c r="EK125" s="607">
        <f t="shared" si="442"/>
        <v>15</v>
      </c>
      <c r="EL125" s="607"/>
      <c r="EM125" s="607">
        <f t="shared" si="443"/>
        <v>8</v>
      </c>
      <c r="EN125" s="608"/>
      <c r="EO125" s="686">
        <f t="shared" si="444"/>
        <v>0</v>
      </c>
      <c r="EP125" s="687"/>
      <c r="EQ125" s="55">
        <f t="shared" si="460"/>
        <v>0</v>
      </c>
      <c r="ER125" s="653">
        <f t="shared" si="445"/>
        <v>1</v>
      </c>
      <c r="ES125" s="594">
        <f t="shared" ref="ES125:ES149" si="477">IF(EM125&gt;$EU$111,99,(EM125))</f>
        <v>99</v>
      </c>
      <c r="ET125" s="625">
        <f>IF(ES125=99,99,(IF(EO124=EO125,ET124,(ES125))))</f>
        <v>99</v>
      </c>
      <c r="EU125" s="653">
        <f t="shared" si="446"/>
        <v>99</v>
      </c>
      <c r="EW125" s="703">
        <f t="shared" si="447"/>
        <v>19999</v>
      </c>
      <c r="EX125" s="703"/>
      <c r="EZ125" s="703">
        <f t="shared" si="448"/>
        <v>19999</v>
      </c>
      <c r="FA125" s="703"/>
      <c r="FC125" s="413">
        <f t="shared" si="449"/>
        <v>5</v>
      </c>
      <c r="FF125" s="413">
        <f t="shared" si="450"/>
        <v>99</v>
      </c>
      <c r="FG125" s="413">
        <f t="shared" si="464"/>
        <v>99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1" t="str">
        <f>GC106</f>
        <v>1. repas</v>
      </c>
      <c r="GD125" s="692"/>
      <c r="GE125" s="500"/>
      <c r="GF125" s="692" t="str">
        <f>GF106</f>
        <v>2. repas</v>
      </c>
      <c r="GG125" s="692"/>
      <c r="GH125" s="500"/>
      <c r="GI125" s="692" t="str">
        <f>GI106</f>
        <v>3. repas</v>
      </c>
      <c r="GJ125" s="693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5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4">
        <f t="shared" si="436"/>
        <v>0</v>
      </c>
      <c r="DV126" s="704"/>
      <c r="DW126" s="704"/>
      <c r="DX126" s="704">
        <f t="shared" si="437"/>
        <v>10000000000.000999</v>
      </c>
      <c r="DY126" s="704"/>
      <c r="DZ126" s="704"/>
      <c r="EA126" s="55">
        <f t="shared" si="438"/>
        <v>15</v>
      </c>
      <c r="EB126" s="704">
        <f t="shared" si="439"/>
        <v>10000000000.000999</v>
      </c>
      <c r="EC126" s="704"/>
      <c r="ED126" s="704"/>
      <c r="EE126" s="607"/>
      <c r="EF126" s="704">
        <f t="shared" si="440"/>
        <v>10000000000.000999</v>
      </c>
      <c r="EG126" s="704"/>
      <c r="EH126" s="704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686">
        <f t="shared" si="444"/>
        <v>0</v>
      </c>
      <c r="EP126" s="687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03">
        <f>(100+EU126)*100+ET126</f>
        <v>19999</v>
      </c>
      <c r="EX126" s="703"/>
      <c r="EZ126" s="703">
        <f t="shared" si="448"/>
        <v>19999</v>
      </c>
      <c r="FA126" s="703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5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7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4">
        <f t="shared" si="436"/>
        <v>0</v>
      </c>
      <c r="DV127" s="704"/>
      <c r="DW127" s="704"/>
      <c r="DX127" s="704">
        <f t="shared" si="437"/>
        <v>10000000000.000999</v>
      </c>
      <c r="DY127" s="704"/>
      <c r="DZ127" s="704"/>
      <c r="EA127" s="55">
        <f t="shared" si="438"/>
        <v>15</v>
      </c>
      <c r="EB127" s="704">
        <f t="shared" si="439"/>
        <v>10000000000.000999</v>
      </c>
      <c r="EC127" s="704"/>
      <c r="ED127" s="704"/>
      <c r="EE127" s="607"/>
      <c r="EF127" s="704">
        <f t="shared" si="440"/>
        <v>10000000000.000999</v>
      </c>
      <c r="EG127" s="704"/>
      <c r="EH127" s="704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86">
        <f t="shared" si="444"/>
        <v>0</v>
      </c>
      <c r="EP127" s="687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03">
        <f t="shared" si="447"/>
        <v>19999</v>
      </c>
      <c r="EX127" s="703"/>
      <c r="EZ127" s="703">
        <f t="shared" si="448"/>
        <v>19999</v>
      </c>
      <c r="FA127" s="703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3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4">
        <f t="shared" si="436"/>
        <v>0</v>
      </c>
      <c r="DV128" s="704"/>
      <c r="DW128" s="704"/>
      <c r="DX128" s="704">
        <f t="shared" si="437"/>
        <v>10000000000.000999</v>
      </c>
      <c r="DY128" s="704"/>
      <c r="DZ128" s="704"/>
      <c r="EA128" s="55">
        <f t="shared" si="438"/>
        <v>15</v>
      </c>
      <c r="EB128" s="704">
        <f t="shared" si="439"/>
        <v>10000000000.000999</v>
      </c>
      <c r="EC128" s="704"/>
      <c r="ED128" s="704"/>
      <c r="EE128" s="607"/>
      <c r="EF128" s="704">
        <f t="shared" si="440"/>
        <v>10000000000.000999</v>
      </c>
      <c r="EG128" s="704"/>
      <c r="EH128" s="704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686">
        <f t="shared" si="444"/>
        <v>0</v>
      </c>
      <c r="EP128" s="687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03">
        <f t="shared" si="447"/>
        <v>19999</v>
      </c>
      <c r="EX128" s="703"/>
      <c r="EZ128" s="703">
        <f t="shared" si="448"/>
        <v>19999</v>
      </c>
      <c r="FA128" s="703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3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26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4">
        <f t="shared" si="436"/>
        <v>0</v>
      </c>
      <c r="DV129" s="704"/>
      <c r="DW129" s="704"/>
      <c r="DX129" s="704">
        <f t="shared" si="437"/>
        <v>10000000000.000999</v>
      </c>
      <c r="DY129" s="704"/>
      <c r="DZ129" s="704"/>
      <c r="EA129" s="55">
        <f t="shared" si="438"/>
        <v>15</v>
      </c>
      <c r="EB129" s="704">
        <f t="shared" si="439"/>
        <v>10000000000.000999</v>
      </c>
      <c r="EC129" s="704"/>
      <c r="ED129" s="704"/>
      <c r="EE129" s="607"/>
      <c r="EF129" s="704">
        <f t="shared" si="440"/>
        <v>10000000000.000999</v>
      </c>
      <c r="EG129" s="704"/>
      <c r="EH129" s="704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86">
        <f t="shared" si="444"/>
        <v>0</v>
      </c>
      <c r="EP129" s="687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03">
        <f t="shared" si="447"/>
        <v>19999</v>
      </c>
      <c r="EX129" s="703"/>
      <c r="EZ129" s="703">
        <f t="shared" si="448"/>
        <v>19999</v>
      </c>
      <c r="FA129" s="703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5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4">
        <f t="shared" si="436"/>
        <v>0</v>
      </c>
      <c r="DV130" s="704"/>
      <c r="DW130" s="704"/>
      <c r="DX130" s="704">
        <f t="shared" si="437"/>
        <v>10000000000.000999</v>
      </c>
      <c r="DY130" s="704"/>
      <c r="DZ130" s="704"/>
      <c r="EA130" s="55">
        <f t="shared" si="438"/>
        <v>15</v>
      </c>
      <c r="EB130" s="704">
        <f t="shared" si="439"/>
        <v>10000000000.000999</v>
      </c>
      <c r="EC130" s="704"/>
      <c r="ED130" s="704"/>
      <c r="EE130" s="607"/>
      <c r="EF130" s="704">
        <f t="shared" si="440"/>
        <v>10000000000.000999</v>
      </c>
      <c r="EG130" s="704"/>
      <c r="EH130" s="704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86">
        <f t="shared" si="444"/>
        <v>0</v>
      </c>
      <c r="EP130" s="687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03">
        <f t="shared" si="447"/>
        <v>19999</v>
      </c>
      <c r="EX130" s="703"/>
      <c r="EZ130" s="703">
        <f>IF(EM130&gt;32,(10000+($EU$149)*100+$ES$149),(SMALL($EW$118:$EX$149,EM130)))</f>
        <v>19999</v>
      </c>
      <c r="FA130" s="703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3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4">
        <f t="shared" si="436"/>
        <v>0</v>
      </c>
      <c r="DV131" s="704"/>
      <c r="DW131" s="704"/>
      <c r="DX131" s="704">
        <f t="shared" si="437"/>
        <v>10000000000.000999</v>
      </c>
      <c r="DY131" s="704"/>
      <c r="DZ131" s="704"/>
      <c r="EA131" s="55">
        <f t="shared" si="438"/>
        <v>15</v>
      </c>
      <c r="EB131" s="704">
        <f t="shared" si="439"/>
        <v>10000000000.000999</v>
      </c>
      <c r="EC131" s="704"/>
      <c r="ED131" s="704"/>
      <c r="EE131" s="607"/>
      <c r="EF131" s="704">
        <f t="shared" si="440"/>
        <v>10000000000.000999</v>
      </c>
      <c r="EG131" s="704"/>
      <c r="EH131" s="704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86">
        <f t="shared" si="444"/>
        <v>0</v>
      </c>
      <c r="EP131" s="687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03">
        <f t="shared" si="447"/>
        <v>19999</v>
      </c>
      <c r="EX131" s="703"/>
      <c r="EZ131" s="703">
        <f t="shared" si="448"/>
        <v>19999</v>
      </c>
      <c r="FA131" s="703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5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4">
        <f t="shared" si="436"/>
        <v>0</v>
      </c>
      <c r="DV132" s="704"/>
      <c r="DW132" s="704"/>
      <c r="DX132" s="704">
        <f t="shared" si="437"/>
        <v>10000000000.000999</v>
      </c>
      <c r="DY132" s="704"/>
      <c r="DZ132" s="704"/>
      <c r="EA132" s="55">
        <f t="shared" si="438"/>
        <v>15</v>
      </c>
      <c r="EB132" s="704">
        <f t="shared" si="439"/>
        <v>10000000000.000999</v>
      </c>
      <c r="EC132" s="704"/>
      <c r="ED132" s="704"/>
      <c r="EE132" s="607"/>
      <c r="EF132" s="704">
        <f t="shared" si="440"/>
        <v>10000000000.000999</v>
      </c>
      <c r="EG132" s="704"/>
      <c r="EH132" s="704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86">
        <f t="shared" si="444"/>
        <v>0</v>
      </c>
      <c r="EP132" s="687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03">
        <f t="shared" si="447"/>
        <v>19999</v>
      </c>
      <c r="EX132" s="703"/>
      <c r="EZ132" s="703">
        <f t="shared" si="448"/>
        <v>19999</v>
      </c>
      <c r="FA132" s="703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5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4">
        <f t="shared" si="436"/>
        <v>0</v>
      </c>
      <c r="DV133" s="704"/>
      <c r="DW133" s="704"/>
      <c r="DX133" s="704">
        <f t="shared" si="437"/>
        <v>10000000000.000999</v>
      </c>
      <c r="DY133" s="704"/>
      <c r="DZ133" s="704"/>
      <c r="EA133" s="55">
        <f t="shared" si="438"/>
        <v>15</v>
      </c>
      <c r="EB133" s="704">
        <f t="shared" si="439"/>
        <v>10000000000.000999</v>
      </c>
      <c r="EC133" s="704"/>
      <c r="ED133" s="704"/>
      <c r="EE133" s="607"/>
      <c r="EF133" s="704">
        <f t="shared" si="440"/>
        <v>10000000000.000999</v>
      </c>
      <c r="EG133" s="704"/>
      <c r="EH133" s="704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86">
        <f t="shared" si="444"/>
        <v>0</v>
      </c>
      <c r="EP133" s="687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03">
        <f t="shared" si="447"/>
        <v>19999</v>
      </c>
      <c r="EX133" s="703"/>
      <c r="EZ133" s="703">
        <f t="shared" si="448"/>
        <v>19999</v>
      </c>
      <c r="FA133" s="703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5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5</v>
      </c>
      <c r="DR134" s="609" t="str">
        <f t="shared" si="434"/>
        <v/>
      </c>
      <c r="DS134" s="607" t="str">
        <f t="shared" si="435"/>
        <v/>
      </c>
      <c r="DT134" s="607"/>
      <c r="DU134" s="704">
        <f t="shared" si="436"/>
        <v>0</v>
      </c>
      <c r="DV134" s="704"/>
      <c r="DW134" s="704"/>
      <c r="DX134" s="704">
        <f t="shared" si="437"/>
        <v>29050000094.050999</v>
      </c>
      <c r="DY134" s="704"/>
      <c r="DZ134" s="704"/>
      <c r="EA134" s="55">
        <f t="shared" si="438"/>
        <v>15</v>
      </c>
      <c r="EB134" s="704">
        <f t="shared" si="439"/>
        <v>29050000094.050999</v>
      </c>
      <c r="EC134" s="704"/>
      <c r="ED134" s="704"/>
      <c r="EE134" s="607"/>
      <c r="EF134" s="704">
        <f t="shared" si="440"/>
        <v>10000000000.000999</v>
      </c>
      <c r="EG134" s="704"/>
      <c r="EH134" s="704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86">
        <f t="shared" si="444"/>
        <v>0</v>
      </c>
      <c r="EP134" s="687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03">
        <f t="shared" si="447"/>
        <v>19999</v>
      </c>
      <c r="EX134" s="703"/>
      <c r="EZ134" s="703">
        <f t="shared" si="448"/>
        <v>19999</v>
      </c>
      <c r="FA134" s="703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5</v>
      </c>
      <c r="FJ134" s="539" t="str">
        <f>IF(AD40="","",$FJ$115)</f>
        <v/>
      </c>
      <c r="FK134" s="413">
        <f t="shared" si="452"/>
        <v>7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7</v>
      </c>
      <c r="FQ134" s="539">
        <f t="shared" si="456"/>
        <v>7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5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6</v>
      </c>
      <c r="DR135" s="609">
        <f t="shared" si="434"/>
        <v>1</v>
      </c>
      <c r="DS135" s="607">
        <f t="shared" si="435"/>
        <v>6</v>
      </c>
      <c r="DT135" s="607"/>
      <c r="DU135" s="704">
        <f t="shared" si="436"/>
        <v>80000000006.061005</v>
      </c>
      <c r="DV135" s="704"/>
      <c r="DW135" s="704"/>
      <c r="DX135" s="704">
        <f t="shared" si="437"/>
        <v>40071210093.061005</v>
      </c>
      <c r="DY135" s="704"/>
      <c r="DZ135" s="704"/>
      <c r="EA135" s="55">
        <f t="shared" si="438"/>
        <v>15</v>
      </c>
      <c r="EB135" s="704">
        <f t="shared" si="439"/>
        <v>80000000006.061005</v>
      </c>
      <c r="EC135" s="704"/>
      <c r="ED135" s="704"/>
      <c r="EE135" s="607"/>
      <c r="EF135" s="704">
        <f t="shared" si="440"/>
        <v>10000000000.000999</v>
      </c>
      <c r="EG135" s="704"/>
      <c r="EH135" s="704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86">
        <f t="shared" si="444"/>
        <v>0</v>
      </c>
      <c r="EP135" s="687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03">
        <f t="shared" si="447"/>
        <v>19999</v>
      </c>
      <c r="EX135" s="703"/>
      <c r="EZ135" s="703">
        <f t="shared" si="448"/>
        <v>19999</v>
      </c>
      <c r="FA135" s="703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6</v>
      </c>
      <c r="FJ135" s="539" t="str">
        <f>IF(AD42="","",$FJ$115)</f>
        <v/>
      </c>
      <c r="FK135" s="413">
        <f t="shared" si="452"/>
        <v>1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1</v>
      </c>
      <c r="FQ135" s="539">
        <f t="shared" si="456"/>
        <v>1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5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7</v>
      </c>
      <c r="DR136" s="609">
        <f t="shared" si="434"/>
        <v>4</v>
      </c>
      <c r="DS136" s="607">
        <f t="shared" si="435"/>
        <v>7</v>
      </c>
      <c r="DT136" s="607"/>
      <c r="DU136" s="704">
        <f t="shared" si="436"/>
        <v>50000000007.070999</v>
      </c>
      <c r="DV136" s="704"/>
      <c r="DW136" s="704"/>
      <c r="DX136" s="704">
        <f t="shared" si="437"/>
        <v>39560410092.070999</v>
      </c>
      <c r="DY136" s="704"/>
      <c r="DZ136" s="704"/>
      <c r="EA136" s="55">
        <f t="shared" si="438"/>
        <v>15</v>
      </c>
      <c r="EB136" s="704">
        <f t="shared" si="439"/>
        <v>50000000007.070999</v>
      </c>
      <c r="EC136" s="704"/>
      <c r="ED136" s="704"/>
      <c r="EE136" s="607"/>
      <c r="EF136" s="704">
        <f t="shared" si="440"/>
        <v>10000000000.000999</v>
      </c>
      <c r="EG136" s="704"/>
      <c r="EH136" s="704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86">
        <f t="shared" si="444"/>
        <v>0</v>
      </c>
      <c r="EP136" s="687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03">
        <f t="shared" si="447"/>
        <v>19999</v>
      </c>
      <c r="EX136" s="703"/>
      <c r="EZ136" s="703">
        <f t="shared" si="448"/>
        <v>19999</v>
      </c>
      <c r="FA136" s="703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7</v>
      </c>
      <c r="FJ136" s="539" t="str">
        <f>IF(AD44="","",$FJ$115)</f>
        <v/>
      </c>
      <c r="FK136" s="413">
        <f t="shared" si="452"/>
        <v>4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4</v>
      </c>
      <c r="FQ136" s="539">
        <f t="shared" si="456"/>
        <v>4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5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0</v>
      </c>
      <c r="DR137" s="609" t="str">
        <f t="shared" si="434"/>
        <v/>
      </c>
      <c r="DS137" s="607" t="str">
        <f t="shared" si="435"/>
        <v/>
      </c>
      <c r="DT137" s="607"/>
      <c r="DU137" s="704">
        <f t="shared" si="436"/>
        <v>0</v>
      </c>
      <c r="DV137" s="704"/>
      <c r="DW137" s="704"/>
      <c r="DX137" s="704">
        <f t="shared" si="437"/>
        <v>10000000000.000999</v>
      </c>
      <c r="DY137" s="704"/>
      <c r="DZ137" s="704"/>
      <c r="EA137" s="55">
        <f t="shared" si="438"/>
        <v>15</v>
      </c>
      <c r="EB137" s="704">
        <f t="shared" si="439"/>
        <v>10000000000.000999</v>
      </c>
      <c r="EC137" s="704"/>
      <c r="ED137" s="704"/>
      <c r="EE137" s="607"/>
      <c r="EF137" s="704">
        <f t="shared" si="440"/>
        <v>10000000000.000999</v>
      </c>
      <c r="EG137" s="704"/>
      <c r="EH137" s="704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86">
        <f t="shared" si="444"/>
        <v>0</v>
      </c>
      <c r="EP137" s="687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03">
        <f t="shared" si="447"/>
        <v>19999</v>
      </c>
      <c r="EX137" s="703"/>
      <c r="EZ137" s="703">
        <f t="shared" si="448"/>
        <v>19999</v>
      </c>
      <c r="FA137" s="703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0</v>
      </c>
      <c r="FJ137" s="539" t="str">
        <f>IF(AD46="","",$FJ$115)</f>
        <v/>
      </c>
      <c r="FK137" s="413" t="str">
        <f t="shared" si="452"/>
        <v/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0</v>
      </c>
      <c r="FQ137" s="539" t="str">
        <f t="shared" si="456"/>
        <v/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5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4">
        <f t="shared" si="436"/>
        <v>0</v>
      </c>
      <c r="DV138" s="704"/>
      <c r="DW138" s="704"/>
      <c r="DX138" s="704">
        <f t="shared" si="437"/>
        <v>10000000000.000999</v>
      </c>
      <c r="DY138" s="704"/>
      <c r="DZ138" s="704"/>
      <c r="EA138" s="55">
        <f t="shared" si="438"/>
        <v>15</v>
      </c>
      <c r="EB138" s="704">
        <f t="shared" si="439"/>
        <v>10000000000.000999</v>
      </c>
      <c r="EC138" s="704"/>
      <c r="ED138" s="704"/>
      <c r="EE138" s="607"/>
      <c r="EF138" s="704">
        <f t="shared" si="440"/>
        <v>10000000000.000999</v>
      </c>
      <c r="EG138" s="704"/>
      <c r="EH138" s="704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86">
        <f t="shared" si="444"/>
        <v>0</v>
      </c>
      <c r="EP138" s="687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03">
        <f t="shared" si="447"/>
        <v>19999</v>
      </c>
      <c r="EX138" s="703"/>
      <c r="EZ138" s="703">
        <f t="shared" si="448"/>
        <v>19999</v>
      </c>
      <c r="FA138" s="703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5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4">
        <f t="shared" si="436"/>
        <v>0</v>
      </c>
      <c r="DV139" s="704"/>
      <c r="DW139" s="704"/>
      <c r="DX139" s="704">
        <f t="shared" si="437"/>
        <v>10000000000.000999</v>
      </c>
      <c r="DY139" s="704"/>
      <c r="DZ139" s="704"/>
      <c r="EA139" s="55">
        <f t="shared" si="438"/>
        <v>15</v>
      </c>
      <c r="EB139" s="704">
        <f t="shared" si="439"/>
        <v>10000000000.000999</v>
      </c>
      <c r="EC139" s="704"/>
      <c r="ED139" s="704"/>
      <c r="EE139" s="607"/>
      <c r="EF139" s="704">
        <f t="shared" si="440"/>
        <v>10000000000.000999</v>
      </c>
      <c r="EG139" s="704"/>
      <c r="EH139" s="704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86">
        <f t="shared" si="444"/>
        <v>0</v>
      </c>
      <c r="EP139" s="687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03">
        <f t="shared" si="447"/>
        <v>19999</v>
      </c>
      <c r="EX139" s="703"/>
      <c r="EZ139" s="703">
        <f t="shared" si="448"/>
        <v>19999</v>
      </c>
      <c r="FA139" s="703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5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4">
        <f t="shared" si="436"/>
        <v>0</v>
      </c>
      <c r="DV140" s="704"/>
      <c r="DW140" s="704"/>
      <c r="DX140" s="704">
        <f t="shared" si="437"/>
        <v>10000000000.000999</v>
      </c>
      <c r="DY140" s="704"/>
      <c r="DZ140" s="704"/>
      <c r="EA140" s="55">
        <f t="shared" si="438"/>
        <v>15</v>
      </c>
      <c r="EB140" s="704">
        <f t="shared" si="439"/>
        <v>10000000000.000999</v>
      </c>
      <c r="EC140" s="704"/>
      <c r="ED140" s="704"/>
      <c r="EE140" s="607"/>
      <c r="EF140" s="704">
        <f t="shared" si="440"/>
        <v>10000000000.000999</v>
      </c>
      <c r="EG140" s="704"/>
      <c r="EH140" s="704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86">
        <f t="shared" si="444"/>
        <v>0</v>
      </c>
      <c r="EP140" s="687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03">
        <f t="shared" si="447"/>
        <v>19999</v>
      </c>
      <c r="EX140" s="703"/>
      <c r="EZ140" s="703">
        <f t="shared" si="448"/>
        <v>19999</v>
      </c>
      <c r="FA140" s="703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5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4">
        <f t="shared" si="436"/>
        <v>0</v>
      </c>
      <c r="DV141" s="704"/>
      <c r="DW141" s="704"/>
      <c r="DX141" s="704">
        <f t="shared" si="437"/>
        <v>10000000000.000999</v>
      </c>
      <c r="DY141" s="704"/>
      <c r="DZ141" s="704"/>
      <c r="EA141" s="55">
        <f t="shared" si="438"/>
        <v>15</v>
      </c>
      <c r="EB141" s="704">
        <f t="shared" si="439"/>
        <v>10000000000.000999</v>
      </c>
      <c r="EC141" s="704"/>
      <c r="ED141" s="704"/>
      <c r="EE141" s="607"/>
      <c r="EF141" s="704">
        <f t="shared" si="440"/>
        <v>10000000000.000999</v>
      </c>
      <c r="EG141" s="704"/>
      <c r="EH141" s="704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86">
        <f t="shared" si="444"/>
        <v>0</v>
      </c>
      <c r="EP141" s="687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03">
        <f t="shared" si="447"/>
        <v>19999</v>
      </c>
      <c r="EX141" s="703"/>
      <c r="EZ141" s="703">
        <f t="shared" si="448"/>
        <v>19999</v>
      </c>
      <c r="FA141" s="703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5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4">
        <f t="shared" si="436"/>
        <v>0</v>
      </c>
      <c r="DV142" s="704"/>
      <c r="DW142" s="704"/>
      <c r="DX142" s="704">
        <f t="shared" si="437"/>
        <v>10000000000.000999</v>
      </c>
      <c r="DY142" s="704"/>
      <c r="DZ142" s="704"/>
      <c r="EA142" s="55">
        <f t="shared" si="438"/>
        <v>15</v>
      </c>
      <c r="EB142" s="704">
        <f t="shared" si="439"/>
        <v>10000000000.000999</v>
      </c>
      <c r="EC142" s="704"/>
      <c r="ED142" s="704"/>
      <c r="EE142" s="607"/>
      <c r="EF142" s="704">
        <f t="shared" si="440"/>
        <v>10000000000.000999</v>
      </c>
      <c r="EG142" s="704"/>
      <c r="EH142" s="704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86">
        <f t="shared" si="444"/>
        <v>0</v>
      </c>
      <c r="EP142" s="687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03">
        <f t="shared" si="447"/>
        <v>19999</v>
      </c>
      <c r="EX142" s="703"/>
      <c r="EZ142" s="703">
        <f t="shared" si="448"/>
        <v>19999</v>
      </c>
      <c r="FA142" s="703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3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4">
        <f t="shared" si="436"/>
        <v>0</v>
      </c>
      <c r="DV143" s="704"/>
      <c r="DW143" s="704"/>
      <c r="DX143" s="704">
        <f t="shared" si="437"/>
        <v>10000000000.000999</v>
      </c>
      <c r="DY143" s="704"/>
      <c r="DZ143" s="704"/>
      <c r="EA143" s="55">
        <f t="shared" si="438"/>
        <v>15</v>
      </c>
      <c r="EB143" s="704">
        <f t="shared" si="439"/>
        <v>10000000000.000999</v>
      </c>
      <c r="EC143" s="704"/>
      <c r="ED143" s="704"/>
      <c r="EE143" s="607"/>
      <c r="EF143" s="704">
        <f t="shared" si="440"/>
        <v>10000000000.000999</v>
      </c>
      <c r="EG143" s="704"/>
      <c r="EH143" s="704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86">
        <f t="shared" si="444"/>
        <v>0</v>
      </c>
      <c r="EP143" s="687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03">
        <f t="shared" si="447"/>
        <v>19999</v>
      </c>
      <c r="EX143" s="703"/>
      <c r="EZ143" s="703">
        <f t="shared" si="448"/>
        <v>19999</v>
      </c>
      <c r="FA143" s="703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5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4">
        <f t="shared" si="436"/>
        <v>0</v>
      </c>
      <c r="DV144" s="704"/>
      <c r="DW144" s="704"/>
      <c r="DX144" s="704">
        <f t="shared" si="437"/>
        <v>10000000000.000999</v>
      </c>
      <c r="DY144" s="704"/>
      <c r="DZ144" s="704"/>
      <c r="EA144" s="55">
        <f t="shared" si="438"/>
        <v>15</v>
      </c>
      <c r="EB144" s="704">
        <f t="shared" si="439"/>
        <v>10000000000.000999</v>
      </c>
      <c r="EC144" s="704"/>
      <c r="ED144" s="704"/>
      <c r="EE144" s="607"/>
      <c r="EF144" s="704">
        <f t="shared" si="440"/>
        <v>10000000000.000999</v>
      </c>
      <c r="EG144" s="704"/>
      <c r="EH144" s="704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86">
        <f t="shared" si="444"/>
        <v>0</v>
      </c>
      <c r="EP144" s="687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03">
        <f t="shared" si="447"/>
        <v>19999</v>
      </c>
      <c r="EX144" s="703"/>
      <c r="EZ144" s="703">
        <f>IF(EM144&gt;32,(10000+($EU$149)*100+$ES$149),(SMALL($EW$118:$EX$149,EM144)))</f>
        <v>19999</v>
      </c>
      <c r="FA144" s="703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5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4">
        <f t="shared" si="436"/>
        <v>0</v>
      </c>
      <c r="DV145" s="704"/>
      <c r="DW145" s="704"/>
      <c r="DX145" s="704">
        <f t="shared" si="437"/>
        <v>10000000000.000999</v>
      </c>
      <c r="DY145" s="704"/>
      <c r="DZ145" s="704"/>
      <c r="EA145" s="55">
        <f t="shared" si="438"/>
        <v>15</v>
      </c>
      <c r="EB145" s="704">
        <f t="shared" si="439"/>
        <v>10000000000.000999</v>
      </c>
      <c r="EC145" s="704"/>
      <c r="ED145" s="704"/>
      <c r="EE145" s="607"/>
      <c r="EF145" s="704">
        <f t="shared" si="440"/>
        <v>10000000000.000999</v>
      </c>
      <c r="EG145" s="704"/>
      <c r="EH145" s="704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86">
        <f t="shared" si="444"/>
        <v>0</v>
      </c>
      <c r="EP145" s="687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03">
        <f t="shared" si="447"/>
        <v>19999</v>
      </c>
      <c r="EX145" s="703"/>
      <c r="EZ145" s="703">
        <f>IF(EM145&gt;32,(10000+($EU$149)*100+$ES$149),(SMALL($EW$118:$EX$149,EM145)))</f>
        <v>19999</v>
      </c>
      <c r="FA145" s="703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5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4">
        <f t="shared" si="436"/>
        <v>0</v>
      </c>
      <c r="DV146" s="704"/>
      <c r="DW146" s="704"/>
      <c r="DX146" s="704">
        <f t="shared" si="437"/>
        <v>10000000000.000999</v>
      </c>
      <c r="DY146" s="704"/>
      <c r="DZ146" s="704"/>
      <c r="EA146" s="55">
        <f t="shared" si="438"/>
        <v>15</v>
      </c>
      <c r="EB146" s="704">
        <f t="shared" si="439"/>
        <v>10000000000.000999</v>
      </c>
      <c r="EC146" s="704"/>
      <c r="ED146" s="704"/>
      <c r="EE146" s="607"/>
      <c r="EF146" s="704">
        <f>LARGE($EB$118:$ED$149,BT146)</f>
        <v>10000000000.000999</v>
      </c>
      <c r="EG146" s="704"/>
      <c r="EH146" s="704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86">
        <f>IF((VALUE((MID(EF146,1,1))))&gt;1,((MID(EF146,1,6))*100),(MID(EF146,2,EK146-3)))+0.001*EQ146</f>
        <v>0</v>
      </c>
      <c r="EP146" s="687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03">
        <f>(100+EU146)*100+ET146</f>
        <v>19999</v>
      </c>
      <c r="EX146" s="703"/>
      <c r="EZ146" s="703">
        <f>IF(EM146&gt;32,(10000+($EU$149)*100+$ES$149),(SMALL($EW$118:$EX$149,EM146)))</f>
        <v>19999</v>
      </c>
      <c r="FA146" s="703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5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4">
        <f t="shared" si="436"/>
        <v>0</v>
      </c>
      <c r="DV147" s="704"/>
      <c r="DW147" s="704"/>
      <c r="DX147" s="704">
        <f t="shared" si="437"/>
        <v>10000000000.000999</v>
      </c>
      <c r="DY147" s="704"/>
      <c r="DZ147" s="704"/>
      <c r="EA147" s="55">
        <f t="shared" si="438"/>
        <v>15</v>
      </c>
      <c r="EB147" s="704">
        <f t="shared" si="439"/>
        <v>10000000000.000999</v>
      </c>
      <c r="EC147" s="704"/>
      <c r="ED147" s="704"/>
      <c r="EE147" s="607"/>
      <c r="EF147" s="704">
        <f>LARGE($EB$118:$ED$149,BT147)</f>
        <v>10000000000.000999</v>
      </c>
      <c r="EG147" s="704"/>
      <c r="EH147" s="704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86">
        <f t="shared" si="444"/>
        <v>0</v>
      </c>
      <c r="EP147" s="687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03">
        <f>(100+EU147)*100+ET147</f>
        <v>19999</v>
      </c>
      <c r="EX147" s="703"/>
      <c r="EZ147" s="703">
        <f t="shared" si="448"/>
        <v>19999</v>
      </c>
      <c r="FA147" s="703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5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4">
        <f t="shared" si="436"/>
        <v>0</v>
      </c>
      <c r="DV148" s="704"/>
      <c r="DW148" s="704"/>
      <c r="DX148" s="704">
        <f t="shared" si="437"/>
        <v>10000000000.000999</v>
      </c>
      <c r="DY148" s="704"/>
      <c r="DZ148" s="704"/>
      <c r="EA148" s="55">
        <f t="shared" si="438"/>
        <v>15</v>
      </c>
      <c r="EB148" s="704">
        <f t="shared" si="439"/>
        <v>10000000000.000999</v>
      </c>
      <c r="EC148" s="704"/>
      <c r="ED148" s="704"/>
      <c r="EE148" s="607"/>
      <c r="EF148" s="704">
        <f t="shared" si="440"/>
        <v>10000000000.000999</v>
      </c>
      <c r="EG148" s="704"/>
      <c r="EH148" s="704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86">
        <f t="shared" si="444"/>
        <v>0</v>
      </c>
      <c r="EP148" s="687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03">
        <f t="shared" si="447"/>
        <v>19999</v>
      </c>
      <c r="EX148" s="703"/>
      <c r="EZ148" s="703">
        <f t="shared" si="448"/>
        <v>19999</v>
      </c>
      <c r="FA148" s="703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5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08">
        <f t="shared" si="436"/>
        <v>0</v>
      </c>
      <c r="DV149" s="708"/>
      <c r="DW149" s="708"/>
      <c r="DX149" s="704">
        <f t="shared" si="437"/>
        <v>10000000000.000999</v>
      </c>
      <c r="DY149" s="704"/>
      <c r="DZ149" s="704"/>
      <c r="EA149" s="338">
        <f t="shared" si="438"/>
        <v>15</v>
      </c>
      <c r="EB149" s="708">
        <f t="shared" si="439"/>
        <v>10000000000.000999</v>
      </c>
      <c r="EC149" s="708"/>
      <c r="ED149" s="708"/>
      <c r="EE149" s="98"/>
      <c r="EF149" s="708">
        <f t="shared" si="440"/>
        <v>10000000000.000999</v>
      </c>
      <c r="EG149" s="708"/>
      <c r="EH149" s="708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86">
        <f t="shared" si="444"/>
        <v>0</v>
      </c>
      <c r="EP149" s="687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03">
        <f t="shared" si="447"/>
        <v>19999</v>
      </c>
      <c r="EX149" s="703"/>
      <c r="EZ149" s="703">
        <f t="shared" si="448"/>
        <v>19999</v>
      </c>
      <c r="FA149" s="703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5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7</v>
      </c>
    </row>
    <row r="151" spans="4:179" hidden="1" x14ac:dyDescent="0.25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5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1</v>
      </c>
    </row>
    <row r="153" spans="4:179" hidden="1" x14ac:dyDescent="0.25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5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4</v>
      </c>
    </row>
    <row r="155" spans="4:179" hidden="1" x14ac:dyDescent="0.25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5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 t="str">
        <f>FQ137</f>
        <v/>
      </c>
    </row>
    <row r="157" spans="4:179" hidden="1" x14ac:dyDescent="0.25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4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5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3</v>
      </c>
      <c r="AI158" s="463" t="str">
        <f t="shared" ref="AI158:AI172" si="482">IF(AI123=$BK$2,0,(INDEX(AJ$89:AJ$120,AI123)))</f>
        <v>VL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5">
      <c r="AF159" s="462">
        <f t="shared" si="480"/>
        <v>3</v>
      </c>
      <c r="AG159" s="462"/>
      <c r="AH159" s="463">
        <f t="shared" si="481"/>
        <v>6</v>
      </c>
      <c r="AI159" s="463">
        <f t="shared" si="482"/>
        <v>7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5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5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5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5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5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5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5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5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5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5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5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5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5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5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5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5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5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5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5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5">
      <c r="AH179" s="463"/>
      <c r="AI179" s="463"/>
      <c r="FU179" s="416"/>
      <c r="FV179" s="417"/>
      <c r="FW179" s="418"/>
    </row>
    <row r="180" spans="32:179" hidden="1" x14ac:dyDescent="0.25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5">
      <c r="AH181" s="463"/>
      <c r="AI181" s="463"/>
      <c r="FU181" s="191"/>
      <c r="FV181" s="98"/>
      <c r="FW181" s="192"/>
    </row>
    <row r="182" spans="32:179" hidden="1" x14ac:dyDescent="0.25">
      <c r="FU182" s="413"/>
    </row>
    <row r="183" spans="32:179" hidden="1" x14ac:dyDescent="0.25">
      <c r="FU183" s="413"/>
    </row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7" workbookViewId="0">
      <selection activeCell="F60" sqref="F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156" hidden="1" customWidth="1"/>
    <col min="33" max="33" width="6.44140625" style="161" hidden="1" customWidth="1"/>
    <col min="34" max="34" width="5.6640625" style="169" hidden="1" customWidth="1"/>
    <col min="35" max="35" width="5.6640625" style="484" hidden="1" customWidth="1"/>
    <col min="36" max="37" width="5.6640625" style="484" customWidth="1"/>
    <col min="38" max="41" width="3.33203125" style="484" customWidth="1"/>
    <col min="42" max="42" width="5.6640625" style="484" customWidth="1"/>
    <col min="43" max="46" width="3.33203125" style="484" customWidth="1"/>
    <col min="47" max="47" width="5.6640625" style="484" customWidth="1"/>
    <col min="48" max="50" width="3.33203125" style="484" customWidth="1"/>
    <col min="51" max="51" width="3.33203125" style="169" customWidth="1"/>
    <col min="52" max="52" width="5.6640625" style="169" customWidth="1"/>
    <col min="53" max="53" width="5.6640625" style="169" hidden="1" customWidth="1"/>
    <col min="54" max="57" width="4.6640625" style="484" hidden="1" customWidth="1"/>
    <col min="58" max="66" width="4.6640625" style="485" hidden="1" customWidth="1"/>
    <col min="67" max="67" width="4.6640625" style="169" hidden="1" customWidth="1"/>
    <col min="68" max="69" width="5.6640625" style="169" hidden="1" customWidth="1"/>
    <col min="70" max="70" width="3.33203125" style="169" hidden="1" customWidth="1"/>
    <col min="71" max="71" width="3.33203125" style="374" hidden="1" customWidth="1"/>
    <col min="72" max="77" width="3.33203125" style="169" hidden="1" customWidth="1"/>
    <col min="78" max="78" width="3.33203125" style="172" hidden="1" customWidth="1"/>
    <col min="79" max="79" width="3.33203125" style="169" hidden="1" customWidth="1"/>
    <col min="80" max="80" width="3.33203125" style="151" hidden="1" customWidth="1"/>
    <col min="81" max="82" width="5.6640625" style="151" hidden="1" customWidth="1"/>
    <col min="83" max="91" width="6.6640625" style="151" hidden="1" customWidth="1"/>
    <col min="92" max="94" width="6.6640625" style="77" hidden="1" customWidth="1"/>
    <col min="95" max="95" width="6.6640625" style="151" hidden="1" customWidth="1"/>
    <col min="96" max="96" width="4.44140625" style="151" hidden="1" customWidth="1"/>
    <col min="97" max="97" width="15.33203125" style="445" hidden="1" customWidth="1"/>
    <col min="98" max="98" width="9.109375" style="158" hidden="1" customWidth="1"/>
    <col min="99" max="99" width="16.5546875" style="445" hidden="1" customWidth="1"/>
    <col min="100" max="100" width="5.6640625" style="155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93" hidden="1" customWidth="1"/>
    <col min="106" max="111" width="5.6640625" style="393" hidden="1" customWidth="1"/>
    <col min="112" max="112" width="6.5546875" style="393" hidden="1" customWidth="1"/>
    <col min="113" max="113" width="7.5546875" style="175" hidden="1" customWidth="1"/>
    <col min="114" max="114" width="5.44140625" style="393" hidden="1" customWidth="1"/>
    <col min="115" max="115" width="9.109375" style="393" hidden="1" customWidth="1"/>
    <col min="116" max="116" width="21.33203125" style="393" hidden="1" customWidth="1"/>
    <col min="117" max="118" width="9.109375" style="539" hidden="1" customWidth="1"/>
    <col min="119" max="120" width="9.109375" hidden="1" customWidth="1"/>
    <col min="121" max="121" width="9.109375" style="159" hidden="1" customWidth="1"/>
    <col min="122" max="122" width="19.109375" hidden="1" customWidth="1"/>
    <col min="123" max="124" width="9.109375" hidden="1" customWidth="1"/>
    <col min="125" max="125" width="9.44140625" style="174" hidden="1" customWidth="1"/>
    <col min="126" max="127" width="9.109375" hidden="1" customWidth="1"/>
    <col min="128" max="128" width="16" style="176" hidden="1" customWidth="1"/>
    <col min="129" max="130" width="9.109375" hidden="1" customWidth="1"/>
    <col min="131" max="133" width="9.109375" style="174" hidden="1" customWidth="1"/>
    <col min="134" max="142" width="9.109375" style="177" hidden="1" customWidth="1"/>
    <col min="143" max="143" width="9.109375" style="177" customWidth="1"/>
    <col min="144" max="144" width="18.109375" customWidth="1"/>
    <col min="145" max="145" width="9.109375" style="177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5">
      <c r="A1" s="680" t="str">
        <f>[1]List1!$A$20</f>
        <v>Tabulka finále</v>
      </c>
      <c r="B1" s="680"/>
      <c r="C1" s="680"/>
      <c r="D1" s="680"/>
      <c r="E1" s="680"/>
      <c r="F1" s="680"/>
      <c r="G1" s="680"/>
      <c r="H1" s="680"/>
      <c r="I1" s="680"/>
      <c r="J1" s="680"/>
      <c r="K1" s="680"/>
      <c r="L1" s="680"/>
      <c r="M1" s="680"/>
      <c r="N1" s="680"/>
      <c r="O1" s="680"/>
      <c r="P1" s="680"/>
      <c r="Q1" s="680"/>
      <c r="R1" s="680"/>
      <c r="S1" s="680"/>
      <c r="T1" s="680"/>
      <c r="U1" s="680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7.399999999999999" x14ac:dyDescent="0.3">
      <c r="A2" s="778" t="str">
        <f>CONCATENATE('Vážní listina'!A2)</f>
        <v>XVII. ročník turnaje v zápase řecko-římském O pohár Františka Nesvadbíka</v>
      </c>
      <c r="B2" s="778"/>
      <c r="C2" s="778"/>
      <c r="D2" s="778"/>
      <c r="E2" s="778"/>
      <c r="F2" s="778"/>
      <c r="G2" s="778"/>
      <c r="H2" s="778"/>
      <c r="I2" s="778"/>
      <c r="J2" s="778"/>
      <c r="K2" s="778"/>
      <c r="L2" s="778"/>
      <c r="M2" s="778"/>
      <c r="N2" s="778"/>
      <c r="O2" s="778"/>
      <c r="P2" s="778"/>
      <c r="Q2" s="77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42"/>
      <c r="BZ3" s="742"/>
      <c r="CA3" s="742"/>
      <c r="CB3" s="742"/>
      <c r="CC3" s="742"/>
      <c r="CD3" s="742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791"/>
      <c r="DP3" s="791"/>
      <c r="DQ3" s="791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5">
      <c r="A4" s="23" t="str">
        <f>CONCATENATE([1]List1!$A$3)</f>
        <v>Místo:</v>
      </c>
      <c r="B4" s="780" t="str">
        <f>CONCATENATE('Vážní listina'!D3)</f>
        <v>Čechovice</v>
      </c>
      <c r="C4" s="780"/>
      <c r="D4" s="780"/>
      <c r="E4" s="78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8" thickBot="1" x14ac:dyDescent="0.3">
      <c r="A5" s="23" t="str">
        <f>CONCATENATE([1]List1!$A$4)</f>
        <v>Datum:</v>
      </c>
      <c r="B5" s="8" t="str">
        <f>CONCATENATE('Vážní listina'!D4)</f>
        <v xml:space="preserve"> 3.12.2022 </v>
      </c>
      <c r="C5" s="8"/>
      <c r="E5" s="683" t="str">
        <f>CONCATENATE([1]List1!$A$5)</f>
        <v>Hmotnost:</v>
      </c>
      <c r="F5" s="683"/>
      <c r="G5" s="683"/>
      <c r="H5" s="780" t="str">
        <f>CONCATENATE('Tabulka kvalifikace'!J4)</f>
        <v>ml.ž 63 kg</v>
      </c>
      <c r="I5" s="780"/>
      <c r="J5" s="780"/>
      <c r="K5" s="780"/>
      <c r="L5" s="780"/>
      <c r="M5" s="780"/>
      <c r="N5" s="71"/>
      <c r="O5" s="82" t="str">
        <f>CONCATENATE([1]List1!$A$6)</f>
        <v>styl:</v>
      </c>
      <c r="P5" s="71"/>
      <c r="Q5" s="71" t="str">
        <f>CONCATENATE('Vážní listina'!I4)</f>
        <v>ř.ř.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3">
      <c r="A7" s="683" t="str">
        <f>CONCATENATE([1]List1!$A$21)</f>
        <v>Repasáž - horní větev</v>
      </c>
      <c r="B7" s="683"/>
      <c r="C7" s="683"/>
      <c r="D7" s="683"/>
      <c r="E7" s="683"/>
      <c r="F7" s="683"/>
      <c r="G7" s="683"/>
      <c r="H7" s="683"/>
      <c r="I7" s="683"/>
      <c r="J7" s="683"/>
      <c r="K7" s="683"/>
      <c r="L7" s="683"/>
      <c r="M7" s="683"/>
      <c r="N7" s="683"/>
      <c r="O7" s="683"/>
      <c r="P7" s="683"/>
      <c r="Q7" s="683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82" t="str">
        <f>[1]List1!$A$226</f>
        <v>Zde doplňovat výsledky</v>
      </c>
      <c r="AM7" s="882"/>
      <c r="AN7" s="882"/>
      <c r="AO7" s="882"/>
      <c r="AP7" s="882"/>
      <c r="AQ7" s="882"/>
      <c r="AR7" s="882"/>
      <c r="AS7" s="882"/>
      <c r="AT7" s="882"/>
      <c r="AU7" s="882"/>
      <c r="AV7" s="882"/>
      <c r="AW7" s="882"/>
      <c r="AX7" s="882"/>
      <c r="AY7" s="882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42"/>
      <c r="ED7" s="742"/>
      <c r="EE7" s="742"/>
      <c r="EF7" s="179"/>
      <c r="EG7" s="742"/>
      <c r="EH7" s="742"/>
      <c r="EI7" s="742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4" thickTop="1" thickBot="1" x14ac:dyDescent="0.3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82"/>
      <c r="AM8" s="882"/>
      <c r="AN8" s="882"/>
      <c r="AO8" s="882"/>
      <c r="AP8" s="882"/>
      <c r="AQ8" s="882"/>
      <c r="AR8" s="882"/>
      <c r="AS8" s="882"/>
      <c r="AT8" s="882"/>
      <c r="AU8" s="882"/>
      <c r="AV8" s="882"/>
      <c r="AW8" s="882"/>
      <c r="AX8" s="882"/>
      <c r="AY8" s="882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24" t="str">
        <f>CONCATENATE([1]List1!$A$23)</f>
        <v>1. repas</v>
      </c>
      <c r="F9" s="725"/>
      <c r="G9" s="726"/>
      <c r="H9" s="724" t="str">
        <f>CONCATENATE([1]List1!$A$24)</f>
        <v>2. repas</v>
      </c>
      <c r="I9" s="725"/>
      <c r="J9" s="726"/>
      <c r="K9" s="724" t="str">
        <f>CONCATENATE([1]List1!$A$25)</f>
        <v>3. repas</v>
      </c>
      <c r="L9" s="725"/>
      <c r="M9" s="726"/>
      <c r="N9" s="755" t="str">
        <f>CONCATENATE([1]List1!$A$17)</f>
        <v>výsledky              B   T   O</v>
      </c>
      <c r="O9" s="756"/>
      <c r="P9" s="757"/>
      <c r="Q9" s="5" t="str">
        <f>CONCATENATE([1]List1!$A$18)</f>
        <v>poř.</v>
      </c>
      <c r="S9" s="76"/>
      <c r="T9" s="76"/>
      <c r="U9" s="76"/>
      <c r="AD9" s="880">
        <f>S9</f>
        <v>0</v>
      </c>
      <c r="AE9" s="880"/>
      <c r="AF9" s="880"/>
      <c r="AG9" s="166" t="str">
        <f>[1]List1!$B$8</f>
        <v>skut. hmot. kg</v>
      </c>
      <c r="AH9" s="179"/>
      <c r="AI9" s="495"/>
      <c r="AJ9" s="495"/>
      <c r="AK9" s="391"/>
      <c r="AL9" s="681" t="str">
        <f>E9</f>
        <v>1. repas</v>
      </c>
      <c r="AM9" s="681"/>
      <c r="AN9" s="681"/>
      <c r="AO9" s="681"/>
      <c r="AP9" s="518"/>
      <c r="AQ9" s="681" t="str">
        <f>H9</f>
        <v>2. repas</v>
      </c>
      <c r="AR9" s="681"/>
      <c r="AS9" s="681"/>
      <c r="AT9" s="681"/>
      <c r="AU9" s="518"/>
      <c r="AV9" s="742" t="str">
        <f>K9</f>
        <v>3. repas</v>
      </c>
      <c r="AW9" s="742"/>
      <c r="AX9" s="742"/>
      <c r="AY9" s="742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81" t="str">
        <f>E9</f>
        <v>1. repas</v>
      </c>
      <c r="CE9" s="881"/>
      <c r="CF9" s="889" t="str">
        <f>H9</f>
        <v>2. repas</v>
      </c>
      <c r="CG9" s="890"/>
      <c r="CH9" s="881" t="str">
        <f>K9</f>
        <v>3. repas</v>
      </c>
      <c r="CI9" s="881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3">
      <c r="A10" s="867" t="str">
        <f>IF('Tabulka kvalifikace'!AC5="","",(IF(D10="","",(INDEX($AB$10:$AB$41,D10)))))</f>
        <v>Zatloukal Martin</v>
      </c>
      <c r="B10" s="861" t="str">
        <f>IF('Tabulka kvalifikace'!AC5="","",(IF(D10="","",(INDEX($AC$10:$AC$41,D10)))))</f>
        <v>Čech.</v>
      </c>
      <c r="C10" s="883"/>
      <c r="D10" s="810">
        <f>IF('Tabulka kvalifikace'!AC5="","",('Tabulka kvalifikace'!FS81))</f>
        <v>1</v>
      </c>
      <c r="E10" s="774">
        <f>IF('Tabulka kvalifikace'!AC5="","",('Tabulka kvalifikace'!FT81))</f>
        <v>3</v>
      </c>
      <c r="F10" s="24">
        <f>IF(D10="","",(IF(AN10="",BU10,AN10)))</f>
        <v>5</v>
      </c>
      <c r="G10" s="25"/>
      <c r="H10" s="774">
        <f>IF('Tabulka kvalifikace'!AC5="","",('Tabulka kvalifikace'!FW81))</f>
        <v>4</v>
      </c>
      <c r="I10" s="24">
        <f>IF(D10="","",IF(AS10="",BX10,AS10))</f>
        <v>1</v>
      </c>
      <c r="J10" s="25"/>
      <c r="K10" s="879" t="str">
        <f>IF('Tabulka kvalifikace'!AC5="","",('Tabulka kvalifikace'!FZ81))</f>
        <v>VL</v>
      </c>
      <c r="L10" s="24" t="str">
        <f>IF(D10="","",IF(AX10="",CA10,AX10))</f>
        <v/>
      </c>
      <c r="M10" s="25"/>
      <c r="N10" s="730">
        <f>BF10</f>
        <v>6</v>
      </c>
      <c r="O10" s="732">
        <f>BF11</f>
        <v>4</v>
      </c>
      <c r="P10" s="758">
        <f>BK10</f>
        <v>0</v>
      </c>
      <c r="Q10" s="723" t="str">
        <f>IF(D10="","",IF($Q$8="","",(IF('Tabulka kvalifikace'!AC5="","",(DG10)))))</f>
        <v>FI</v>
      </c>
      <c r="S10" s="58"/>
      <c r="T10" s="58"/>
      <c r="U10" s="685">
        <f>IF(D10="","",IF($Q$8="","",(IF('Tabulka kvalifikace'!AC5="","",(DH10)))))</f>
        <v>1</v>
      </c>
      <c r="AA10" s="1">
        <v>1</v>
      </c>
      <c r="AB10" s="79" t="str">
        <f>'Vážní listina'!D7</f>
        <v>Zatloukal Martin</v>
      </c>
      <c r="AC10" s="79" t="str">
        <f>'Vážní listina'!E7</f>
        <v>Čech.</v>
      </c>
      <c r="AD10" s="156">
        <f>'Tabulka kvalifikace'!Z7</f>
        <v>11</v>
      </c>
      <c r="AE10" s="156">
        <f>'Tabulka kvalifikace'!AA7</f>
        <v>8</v>
      </c>
      <c r="AF10" s="156">
        <f>'Tabulka kvalifikace'!AB7</f>
        <v>0</v>
      </c>
      <c r="AG10" s="161">
        <f>'Vážní listina'!H7</f>
        <v>63</v>
      </c>
      <c r="AH10" s="742"/>
      <c r="AI10" s="495"/>
      <c r="AJ10" s="495"/>
      <c r="AK10" s="391"/>
      <c r="AL10" s="810" t="str">
        <f>IF(D10="","",'Tabulka kvalifikace'!GC121)</f>
        <v>xxx</v>
      </c>
      <c r="AM10" s="809" t="str">
        <f>IF(D10="","",AL12)</f>
        <v>xxx</v>
      </c>
      <c r="AN10" s="24"/>
      <c r="AO10" s="25"/>
      <c r="AP10" s="518"/>
      <c r="AQ10" s="810" t="str">
        <f>IF(D10="","",'Tabulka kvalifikace'!GG121)</f>
        <v>xxx</v>
      </c>
      <c r="AR10" s="809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5</v>
      </c>
      <c r="BD10" s="495">
        <f t="shared" ref="BD10:BD15" si="1">I10</f>
        <v>1</v>
      </c>
      <c r="BE10" s="495" t="str">
        <f t="shared" ref="BE10:BE15" si="2">L10</f>
        <v/>
      </c>
      <c r="BF10" s="498">
        <f t="shared" ref="BF10:BF15" si="3">SUM(BC10:BE10)</f>
        <v>6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10">
        <f>D10</f>
        <v>1</v>
      </c>
      <c r="BT10" s="774">
        <f>'Tabulka kvalifikace'!FT81</f>
        <v>3</v>
      </c>
      <c r="BU10" s="24">
        <f>'Tabulka kvalifikace'!FU81</f>
        <v>5</v>
      </c>
      <c r="BV10" s="25"/>
      <c r="BW10" s="774">
        <f>'Tabulka kvalifikace'!FW81</f>
        <v>4</v>
      </c>
      <c r="BX10" s="24">
        <f>'Tabulka kvalifikace'!FX81</f>
        <v>1</v>
      </c>
      <c r="BY10" s="25"/>
      <c r="BZ10" s="879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5</v>
      </c>
      <c r="CE10" s="395">
        <f>F11</f>
        <v>2</v>
      </c>
      <c r="CF10" s="397">
        <f>I10</f>
        <v>1</v>
      </c>
      <c r="CG10" s="396">
        <f>I11</f>
        <v>2</v>
      </c>
      <c r="CH10" s="395" t="str">
        <f>L10</f>
        <v/>
      </c>
      <c r="CI10" s="395" t="str">
        <f>L11</f>
        <v/>
      </c>
      <c r="CJ10" s="255">
        <f>N10</f>
        <v>6</v>
      </c>
      <c r="CK10" s="431">
        <f>O10</f>
        <v>4</v>
      </c>
      <c r="CL10" s="179"/>
      <c r="CM10" s="179"/>
      <c r="CN10" s="437">
        <f>IF(CD10=5,1,0)+IF(CF10=5,1,0)+IF(CH10=5,1,0)</f>
        <v>1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1060410098.011</v>
      </c>
      <c r="CT10" s="179"/>
      <c r="CU10" s="661">
        <f>LARGE($CS$10:$CS$12,CR10)</f>
        <v>1060410098.011</v>
      </c>
      <c r="CV10" s="179">
        <f>LEN(CU10)</f>
        <v>14</v>
      </c>
      <c r="CW10" s="179"/>
      <c r="CX10" s="179">
        <f>VALUE(MID(CU10,CV10-1,2))</f>
        <v>11</v>
      </c>
      <c r="CY10" s="179"/>
      <c r="CZ10" s="179">
        <f>100000+CX10*100+CZ3</f>
        <v>101101</v>
      </c>
      <c r="DA10" s="395">
        <f>SMALL($CZ$10:$CZ$12,CR10)</f>
        <v>101101</v>
      </c>
      <c r="DB10" s="395">
        <f>LEN(DA10)</f>
        <v>6</v>
      </c>
      <c r="DC10" s="395">
        <f>VALUE(MID(DA10,DB10-1,2))</f>
        <v>1</v>
      </c>
      <c r="DD10" s="395"/>
      <c r="DE10" s="395" t="str">
        <f>IF(DC10=$CZ$3,$DA$3,IF(DC10=$CZ$4,$DA$4,IF(DC10=$CZ$5,$DA$5,"")))</f>
        <v>FI</v>
      </c>
      <c r="DF10" s="395"/>
      <c r="DG10" s="395" t="str">
        <f>DE10</f>
        <v>FI</v>
      </c>
      <c r="DH10" s="395">
        <f>DC10</f>
        <v>1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3">
      <c r="A11" s="832"/>
      <c r="B11" s="844"/>
      <c r="C11" s="884"/>
      <c r="D11" s="811"/>
      <c r="E11" s="721"/>
      <c r="F11" s="29">
        <f>IF(D10="","",IF(AN11="",BU11,AN11))</f>
        <v>2</v>
      </c>
      <c r="G11" s="28"/>
      <c r="H11" s="721"/>
      <c r="I11" s="29">
        <f>IF(D10="","",IF(AS11="",BX11,AS11))</f>
        <v>2</v>
      </c>
      <c r="J11" s="28"/>
      <c r="K11" s="856"/>
      <c r="L11" s="29" t="str">
        <f>IF(D10="","",IF(AX11="",CA11,AX11))</f>
        <v/>
      </c>
      <c r="M11" s="28"/>
      <c r="N11" s="731"/>
      <c r="O11" s="733"/>
      <c r="P11" s="738"/>
      <c r="Q11" s="722"/>
      <c r="S11" s="58"/>
      <c r="T11" s="58"/>
      <c r="U11" s="685"/>
      <c r="Z11" s="160"/>
      <c r="AA11" s="1">
        <f>AA10+1</f>
        <v>2</v>
      </c>
      <c r="AB11" s="79" t="str">
        <f>'Vážní listina'!D8</f>
        <v>Vánko Martin</v>
      </c>
      <c r="AC11" s="79" t="str">
        <f>'Vážní listina'!E8</f>
        <v>Trenčín</v>
      </c>
      <c r="AD11" s="156">
        <f>'Tabulka kvalifikace'!Z9</f>
        <v>0</v>
      </c>
      <c r="AE11" s="156">
        <f>'Tabulka kvalifikace'!AA9</f>
        <v>0</v>
      </c>
      <c r="AF11" s="156">
        <f>'Tabulka kvalifikace'!AB9</f>
        <v>0</v>
      </c>
      <c r="AG11" s="161">
        <f>'Vážní listina'!H8</f>
        <v>58.8</v>
      </c>
      <c r="AH11" s="742"/>
      <c r="AI11" s="495"/>
      <c r="AJ11" s="495"/>
      <c r="AK11" s="391"/>
      <c r="AL11" s="811">
        <f>D12</f>
        <v>3</v>
      </c>
      <c r="AM11" s="721"/>
      <c r="AN11" s="27"/>
      <c r="AO11" s="28"/>
      <c r="AP11" s="518"/>
      <c r="AQ11" s="811" t="str">
        <f>I12</f>
        <v/>
      </c>
      <c r="AR11" s="721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2</v>
      </c>
      <c r="BD11" s="495">
        <f t="shared" si="1"/>
        <v>2</v>
      </c>
      <c r="BE11" s="495" t="str">
        <f t="shared" si="2"/>
        <v/>
      </c>
      <c r="BF11" s="498">
        <f t="shared" si="3"/>
        <v>4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11"/>
      <c r="BT11" s="721"/>
      <c r="BU11" s="27">
        <f>'Tabulka kvalifikace'!FV81</f>
        <v>2</v>
      </c>
      <c r="BV11" s="28"/>
      <c r="BW11" s="721"/>
      <c r="BX11" s="27">
        <f>'Tabulka kvalifikace'!FY81</f>
        <v>2</v>
      </c>
      <c r="BY11" s="28"/>
      <c r="BZ11" s="856"/>
      <c r="CA11" s="27" t="str">
        <f>'Tabulka kvalifikace'!GB81</f>
        <v/>
      </c>
      <c r="CB11" s="425"/>
      <c r="CC11" s="435">
        <f>D12</f>
        <v>3</v>
      </c>
      <c r="CD11" s="395">
        <f>F12</f>
        <v>0</v>
      </c>
      <c r="CE11" s="395">
        <f>F13</f>
        <v>0</v>
      </c>
      <c r="CF11" s="397" t="str">
        <f>I12</f>
        <v/>
      </c>
      <c r="CG11" s="396" t="str">
        <f>I13</f>
        <v/>
      </c>
      <c r="CH11" s="395">
        <f>L12</f>
        <v>5</v>
      </c>
      <c r="CI11" s="395">
        <f>L13</f>
        <v>14</v>
      </c>
      <c r="CJ11" s="255">
        <f>N12</f>
        <v>5</v>
      </c>
      <c r="CK11" s="431">
        <f>O12</f>
        <v>14</v>
      </c>
      <c r="CL11" s="179"/>
      <c r="CM11" s="179"/>
      <c r="CN11" s="437">
        <f>IF(CD11=5,1,0)+IF(CF11=5,1,0)+IF(CH11=5,1,0)</f>
        <v>1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1051410096.031</v>
      </c>
      <c r="CT11" s="179"/>
      <c r="CU11" s="661">
        <f>LARGE($CS$10:$CS$12,CR11)</f>
        <v>1051410096.031</v>
      </c>
      <c r="CV11" s="395">
        <f>LEN(CU11)</f>
        <v>14</v>
      </c>
      <c r="CW11" s="179"/>
      <c r="CX11" s="395">
        <f>VALUE(MID(CU11,CV11-1,2))</f>
        <v>31</v>
      </c>
      <c r="CY11" s="179"/>
      <c r="CZ11" s="395">
        <f>100000+CX11*100+CZ4</f>
        <v>103102</v>
      </c>
      <c r="DA11" s="395">
        <f>SMALL($CZ$10:$CZ$12,CR11)</f>
        <v>103102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3">
      <c r="A12" s="832" t="str">
        <f>IF('Tabulka kvalifikace'!AC5="","",(IF(D12="","",(INDEX($AB$10:$AB$41,D12)))))</f>
        <v>Dalibor Patkoló</v>
      </c>
      <c r="B12" s="844" t="str">
        <f>IF('Tabulka kvalifikace'!AC5="","",(IF(D12="","",(INDEX($AC$10:$AC$41,D12)))))</f>
        <v>Šam.</v>
      </c>
      <c r="C12" s="884"/>
      <c r="D12" s="812">
        <f>IF('Tabulka kvalifikace'!AC5="","",('Tabulka kvalifikace'!FS82))</f>
        <v>3</v>
      </c>
      <c r="E12" s="721">
        <f>IF('Tabulka kvalifikace'!AC5="","",('Tabulka kvalifikace'!FT82))</f>
        <v>1</v>
      </c>
      <c r="F12" s="31">
        <f>IF(D12="","",IF(AN12="",BU12,AN12))</f>
        <v>0</v>
      </c>
      <c r="G12" s="32"/>
      <c r="H12" s="721" t="str">
        <f>IF('Tabulka kvalifikace'!AC5="","",('Tabulka kvalifikace'!FW82))</f>
        <v>VL</v>
      </c>
      <c r="I12" s="31" t="str">
        <f>IF(AS12="",BX12,AS12)</f>
        <v/>
      </c>
      <c r="J12" s="32"/>
      <c r="K12" s="856">
        <f>IF('Tabulka kvalifikace'!AC5="","",('Tabulka kvalifikace'!FZ82))</f>
        <v>4</v>
      </c>
      <c r="L12" s="31">
        <f>IF(D12="","",IF(AX12="",CA12,AX12))</f>
        <v>5</v>
      </c>
      <c r="M12" s="32"/>
      <c r="N12" s="850">
        <f>BF12</f>
        <v>5</v>
      </c>
      <c r="O12" s="835">
        <f>BF13</f>
        <v>14</v>
      </c>
      <c r="P12" s="830">
        <f>BK12</f>
        <v>0</v>
      </c>
      <c r="Q12" s="722" t="str">
        <f>IF(D12="","",IF($Q$8="","",(IF('Tabulka kvalifikace'!AC5="","",(DG12)))))</f>
        <v>FII</v>
      </c>
      <c r="S12" s="58"/>
      <c r="T12" s="58"/>
      <c r="U12" s="685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>Dalibor Patkoló</v>
      </c>
      <c r="AC12" s="79" t="str">
        <f>'Vážní listina'!E9</f>
        <v>Šam.</v>
      </c>
      <c r="AD12" s="156">
        <f>'Tabulka kvalifikace'!Z11</f>
        <v>5</v>
      </c>
      <c r="AE12" s="156">
        <f>'Tabulka kvalifikace'!AA11</f>
        <v>14</v>
      </c>
      <c r="AF12" s="156">
        <f>'Tabulka kvalifikace'!AB11</f>
        <v>0</v>
      </c>
      <c r="AG12" s="161">
        <f>'Vážní listina'!H9</f>
        <v>62.9</v>
      </c>
      <c r="AH12" s="179"/>
      <c r="AI12" s="495"/>
      <c r="AJ12" s="495"/>
      <c r="AK12" s="391"/>
      <c r="AL12" s="812" t="str">
        <f>IF(D12="","",'Tabulka kvalifikace'!GD121)</f>
        <v>xxx</v>
      </c>
      <c r="AM12" s="820" t="str">
        <f>AL10</f>
        <v>xxx</v>
      </c>
      <c r="AN12" s="31"/>
      <c r="AO12" s="32"/>
      <c r="AP12" s="518"/>
      <c r="AQ12" s="814"/>
      <c r="AR12" s="815"/>
      <c r="AS12" s="45"/>
      <c r="AT12" s="45"/>
      <c r="AU12" s="518"/>
      <c r="AV12" s="810" t="str">
        <f>IF(D12="","",'Tabulka kvalifikace'!GI121)</f>
        <v>xxx</v>
      </c>
      <c r="AW12" s="809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0</v>
      </c>
      <c r="BD12" s="495" t="str">
        <f t="shared" si="1"/>
        <v/>
      </c>
      <c r="BE12" s="495">
        <f t="shared" si="2"/>
        <v>5</v>
      </c>
      <c r="BF12" s="498">
        <f t="shared" si="3"/>
        <v>5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12">
        <f>D12</f>
        <v>3</v>
      </c>
      <c r="BT12" s="721">
        <f>'Tabulka kvalifikace'!FT82</f>
        <v>1</v>
      </c>
      <c r="BU12" s="31">
        <f>'Tabulka kvalifikace'!FU82</f>
        <v>0</v>
      </c>
      <c r="BV12" s="32"/>
      <c r="BW12" s="721" t="str">
        <f>'Tabulka kvalifikace'!FW82</f>
        <v>VL</v>
      </c>
      <c r="BX12" s="31" t="str">
        <f>'Tabulka kvalifikace'!FX82</f>
        <v/>
      </c>
      <c r="BY12" s="32"/>
      <c r="BZ12" s="856">
        <f>'Tabulka kvalifikace'!FZ82</f>
        <v>4</v>
      </c>
      <c r="CA12" s="31">
        <f>'Tabulka kvalifikace'!GA82</f>
        <v>5</v>
      </c>
      <c r="CB12" s="426"/>
      <c r="CC12" s="436">
        <f>D14</f>
        <v>4</v>
      </c>
      <c r="CD12" s="394" t="str">
        <f>F14</f>
        <v/>
      </c>
      <c r="CE12" s="394" t="str">
        <f>F15</f>
        <v/>
      </c>
      <c r="CF12" s="427">
        <f>I14</f>
        <v>3</v>
      </c>
      <c r="CG12" s="428">
        <f>I15</f>
        <v>10</v>
      </c>
      <c r="CH12" s="394">
        <f>L14</f>
        <v>0</v>
      </c>
      <c r="CI12" s="394">
        <f>L15</f>
        <v>4</v>
      </c>
      <c r="CJ12" s="432">
        <f>N14</f>
        <v>3</v>
      </c>
      <c r="CK12" s="433">
        <f>O14</f>
        <v>14</v>
      </c>
      <c r="CL12" s="179"/>
      <c r="CM12" s="179"/>
      <c r="CN12" s="439">
        <f>IF(CD12=5,1,0)+IF(CF12=5,1,0)+IF(CH12=5,1,0)</f>
        <v>0</v>
      </c>
      <c r="CO12" s="440">
        <f>IF(CD12=4,1,0)+IF(CF12=4,1,0)+IF(CH12=4,1,0)</f>
        <v>0</v>
      </c>
      <c r="CP12" s="441">
        <f>IF(CD12=3,1,0)+IF(CF12=3,1,0)+IF(CH12=3,1,0)</f>
        <v>1</v>
      </c>
      <c r="CQ12" s="179"/>
      <c r="CR12" s="179">
        <v>3</v>
      </c>
      <c r="CS12" s="661">
        <f t="shared" si="4"/>
        <v>1031400195.041</v>
      </c>
      <c r="CT12" s="179"/>
      <c r="CU12" s="661">
        <f>LARGE($CS$10:$CS$12,CR12)</f>
        <v>1031400195.041</v>
      </c>
      <c r="CV12" s="395">
        <f>LEN(CU12)</f>
        <v>14</v>
      </c>
      <c r="CW12" s="179"/>
      <c r="CX12" s="395">
        <f>VALUE(MID(CU12,CV12-1,2))</f>
        <v>41</v>
      </c>
      <c r="CY12" s="179"/>
      <c r="CZ12" s="395">
        <f>100000+CX12*100+CZ5</f>
        <v>104103</v>
      </c>
      <c r="DA12" s="395">
        <f>SMALL($CZ$10:$CZ$12,CR12)</f>
        <v>104103</v>
      </c>
      <c r="DB12" s="395">
        <f>LEN(DA12)</f>
        <v>6</v>
      </c>
      <c r="DC12" s="395">
        <f>VALUE(MID(DA12,DB12-1,2))</f>
        <v>3</v>
      </c>
      <c r="DD12" s="395"/>
      <c r="DE12" s="395" t="str">
        <f>IF(DC12=$CZ$3,$DA$3,IF(DC12=$CZ$4,$DA$4,IF(DC12=$CZ$5,$DA$5,"")))</f>
        <v>FIII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3">
      <c r="A13" s="832"/>
      <c r="B13" s="844"/>
      <c r="C13" s="884"/>
      <c r="D13" s="811"/>
      <c r="E13" s="721"/>
      <c r="F13" s="29">
        <f>IF(D12="","",IF(AN13="",BU13,AN13))</f>
        <v>0</v>
      </c>
      <c r="G13" s="30"/>
      <c r="H13" s="721"/>
      <c r="I13" s="29" t="str">
        <f>IF(AS13="",BX13,AS13)</f>
        <v/>
      </c>
      <c r="J13" s="30"/>
      <c r="K13" s="856"/>
      <c r="L13" s="29">
        <f>IF(D12="","",IF(AX13="",CA13,AX13))</f>
        <v>14</v>
      </c>
      <c r="M13" s="30"/>
      <c r="N13" s="851"/>
      <c r="O13" s="836"/>
      <c r="P13" s="831"/>
      <c r="Q13" s="722"/>
      <c r="S13" s="58"/>
      <c r="T13" s="58"/>
      <c r="U13" s="685"/>
      <c r="Z13" s="160"/>
      <c r="AA13" s="150">
        <f t="shared" si="5"/>
        <v>4</v>
      </c>
      <c r="AB13" s="79" t="str">
        <f>'Vážní listina'!D10</f>
        <v>Tibor Kubík</v>
      </c>
      <c r="AC13" s="79" t="str">
        <f>'Vážní listina'!E10</f>
        <v>Hod.</v>
      </c>
      <c r="AD13" s="156">
        <f>'Tabulka kvalifikace'!Z13</f>
        <v>8</v>
      </c>
      <c r="AE13" s="156">
        <f>'Tabulka kvalifikace'!AA13</f>
        <v>24</v>
      </c>
      <c r="AF13" s="156">
        <f>'Tabulka kvalifikace'!AB13</f>
        <v>0</v>
      </c>
      <c r="AG13" s="161">
        <f>'Vážní listina'!H10</f>
        <v>57.7</v>
      </c>
      <c r="AH13" s="179"/>
      <c r="AI13" s="495"/>
      <c r="AJ13" s="495"/>
      <c r="AK13" s="391"/>
      <c r="AL13" s="813"/>
      <c r="AM13" s="819"/>
      <c r="AN13" s="34"/>
      <c r="AO13" s="35"/>
      <c r="AP13" s="518"/>
      <c r="AQ13" s="681"/>
      <c r="AR13" s="816"/>
      <c r="AS13" s="521"/>
      <c r="AT13" s="521"/>
      <c r="AU13" s="518"/>
      <c r="AV13" s="811">
        <f>N14</f>
        <v>3</v>
      </c>
      <c r="AW13" s="721"/>
      <c r="AX13" s="27"/>
      <c r="AY13" s="28"/>
      <c r="AZ13" s="520"/>
      <c r="BA13" s="495"/>
      <c r="BB13" s="495"/>
      <c r="BC13" s="495">
        <f t="shared" si="0"/>
        <v>0</v>
      </c>
      <c r="BD13" s="495" t="str">
        <f t="shared" si="1"/>
        <v/>
      </c>
      <c r="BE13" s="495">
        <f t="shared" si="2"/>
        <v>14</v>
      </c>
      <c r="BF13" s="498">
        <f t="shared" si="3"/>
        <v>14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11"/>
      <c r="BT13" s="721"/>
      <c r="BU13" s="29">
        <f>'Tabulka kvalifikace'!FV82</f>
        <v>0</v>
      </c>
      <c r="BV13" s="30"/>
      <c r="BW13" s="721"/>
      <c r="BX13" s="29" t="str">
        <f>'Tabulka kvalifikace'!FY82</f>
        <v/>
      </c>
      <c r="BY13" s="30"/>
      <c r="BZ13" s="856"/>
      <c r="CA13" s="29">
        <f>'Tabulka kvalifikace'!GB82</f>
        <v>14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3">
      <c r="A14" s="832" t="str">
        <f>IF('Tabulka kvalifikace'!AC5="","",(IF(D14="","",(INDEX($AB$10:$AB$41,D14)))))</f>
        <v>Tibor Kubík</v>
      </c>
      <c r="B14" s="844" t="str">
        <f>IF('Tabulka kvalifikace'!AC5="","",(IF(D14="","",(INDEX($AC$10:$AC$41,D14)))))</f>
        <v>Hod.</v>
      </c>
      <c r="C14" s="884"/>
      <c r="D14" s="812">
        <f>IF('Tabulka kvalifikace'!AC5="","",('Tabulka kvalifikace'!FS83))</f>
        <v>4</v>
      </c>
      <c r="E14" s="721" t="str">
        <f>IF('Tabulka kvalifikace'!AC5="","",('Tabulka kvalifikace'!FT83))</f>
        <v>VL</v>
      </c>
      <c r="F14" s="26" t="str">
        <f>IF(AN14="",BU14,AN14)</f>
        <v/>
      </c>
      <c r="G14" s="33"/>
      <c r="H14" s="721">
        <f>IF('Tabulka kvalifikace'!AC5="","",('Tabulka kvalifikace'!FW83))</f>
        <v>1</v>
      </c>
      <c r="I14" s="26">
        <f>IF(D14="","",IF(AS14="",BX14,AS14))</f>
        <v>3</v>
      </c>
      <c r="J14" s="33"/>
      <c r="K14" s="856">
        <f>IF('Tabulka kvalifikace'!AC5="","",('Tabulka kvalifikace'!FZ83))</f>
        <v>3</v>
      </c>
      <c r="L14" s="26">
        <f>IF(D14="","",IF(AX14="",CA14,AX14))</f>
        <v>0</v>
      </c>
      <c r="M14" s="33"/>
      <c r="N14" s="850">
        <f>BF14</f>
        <v>3</v>
      </c>
      <c r="O14" s="835">
        <f>IF('Tabulka kvalifikace'!AC5="","",('Tabulka kvalifikace'!GE83))</f>
        <v>14</v>
      </c>
      <c r="P14" s="830">
        <f>BK14</f>
        <v>0</v>
      </c>
      <c r="Q14" s="722" t="str">
        <f>IF(D14="","",IF($Q$8="","",(IF('Tabulka kvalifikace'!AC5="","",(DG14)))))</f>
        <v>FIII</v>
      </c>
      <c r="S14" s="58"/>
      <c r="T14" s="58"/>
      <c r="U14" s="685">
        <f>IF($Q$8="","",(IF('Tabulka kvalifikace'!AC5="","",(DH14))))</f>
        <v>3</v>
      </c>
      <c r="Z14" s="160"/>
      <c r="AA14" s="150">
        <f t="shared" si="5"/>
        <v>5</v>
      </c>
      <c r="AB14" s="79" t="str">
        <f>'Vážní listina'!D11</f>
        <v>Katrinec Vratko</v>
      </c>
      <c r="AC14" s="79" t="str">
        <f>'Vážní listina'!E11</f>
        <v>Trenčín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60.6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17" t="str">
        <f>IF(D14="","",'Tabulka kvalifikace'!GF121)</f>
        <v>xxx</v>
      </c>
      <c r="AR14" s="818" t="str">
        <f>AQ10</f>
        <v>xxx</v>
      </c>
      <c r="AS14" s="26"/>
      <c r="AT14" s="33"/>
      <c r="AU14" s="518"/>
      <c r="AV14" s="812" t="str">
        <f>IF(D14="","",'Tabulka kvalifikace'!GJ121)</f>
        <v>xxx</v>
      </c>
      <c r="AW14" s="820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3</v>
      </c>
      <c r="BE14" s="495">
        <f t="shared" si="2"/>
        <v>0</v>
      </c>
      <c r="BF14" s="498">
        <f t="shared" si="3"/>
        <v>3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12">
        <f>D14</f>
        <v>4</v>
      </c>
      <c r="BT14" s="721" t="str">
        <f>'Tabulka kvalifikace'!FT83</f>
        <v>VL</v>
      </c>
      <c r="BU14" s="31" t="str">
        <f>'Tabulka kvalifikace'!FU83</f>
        <v/>
      </c>
      <c r="BV14" s="32"/>
      <c r="BW14" s="721">
        <f>'Tabulka kvalifikace'!FW83</f>
        <v>1</v>
      </c>
      <c r="BX14" s="31">
        <f>'Tabulka kvalifikace'!FX83</f>
        <v>3</v>
      </c>
      <c r="BY14" s="32"/>
      <c r="BZ14" s="856">
        <f>'Tabulka kvalifikace'!FZ83</f>
        <v>3</v>
      </c>
      <c r="CA14" s="31">
        <f>'Tabulka kvalifikace'!GA83</f>
        <v>0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FIII</v>
      </c>
      <c r="DH14" s="395">
        <f>DC12</f>
        <v>3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3">
      <c r="A15" s="832"/>
      <c r="B15" s="844"/>
      <c r="C15" s="884"/>
      <c r="D15" s="811"/>
      <c r="E15" s="721"/>
      <c r="F15" s="511" t="str">
        <f>IF(AN15="",BU15,AN15)</f>
        <v/>
      </c>
      <c r="G15" s="30"/>
      <c r="H15" s="721"/>
      <c r="I15" s="511">
        <f>IF(D14="","",IF(AS15="",BX15,AS15))</f>
        <v>10</v>
      </c>
      <c r="J15" s="30"/>
      <c r="K15" s="856"/>
      <c r="L15" s="511">
        <f>IF(D14="","",IF(AX15="",CA15,AX15))</f>
        <v>4</v>
      </c>
      <c r="M15" s="30"/>
      <c r="N15" s="851"/>
      <c r="O15" s="836"/>
      <c r="P15" s="831"/>
      <c r="Q15" s="722"/>
      <c r="S15" s="58"/>
      <c r="T15" s="58"/>
      <c r="U15" s="685"/>
      <c r="Z15" s="160"/>
      <c r="AA15" s="150">
        <f t="shared" si="5"/>
        <v>6</v>
      </c>
      <c r="AB15" s="79" t="str">
        <f>'Vážní listina'!D12</f>
        <v>Staníček David</v>
      </c>
      <c r="AC15" s="79" t="str">
        <f>'Vážní listina'!E12</f>
        <v>Krn.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59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13"/>
      <c r="AR15" s="819"/>
      <c r="AS15" s="34"/>
      <c r="AT15" s="35"/>
      <c r="AU15" s="518"/>
      <c r="AV15" s="813"/>
      <c r="AW15" s="819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10</v>
      </c>
      <c r="BE15" s="495">
        <f t="shared" si="2"/>
        <v>4</v>
      </c>
      <c r="BF15" s="498">
        <f t="shared" si="3"/>
        <v>14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13"/>
      <c r="BT15" s="819"/>
      <c r="BU15" s="34" t="str">
        <f>'Tabulka kvalifikace'!FV83</f>
        <v/>
      </c>
      <c r="BV15" s="35"/>
      <c r="BW15" s="819"/>
      <c r="BX15" s="34">
        <f>'Tabulka kvalifikace'!FY83</f>
        <v>10</v>
      </c>
      <c r="BY15" s="35"/>
      <c r="BZ15" s="878"/>
      <c r="CA15" s="34">
        <f>'Tabulka kvalifikace'!GB83</f>
        <v>4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3">
      <c r="A16" s="832" t="str">
        <f>IF(D16="","",(INDEX($AB$10:$AB$41,D16)))</f>
        <v/>
      </c>
      <c r="B16" s="844" t="str">
        <f>IF(D16="","",(INDEX($AC$10:$AC$41,D16)))</f>
        <v/>
      </c>
      <c r="C16" s="884"/>
      <c r="D16" s="812"/>
      <c r="E16" s="721"/>
      <c r="F16" s="26"/>
      <c r="G16" s="33"/>
      <c r="H16" s="721"/>
      <c r="I16" s="26"/>
      <c r="J16" s="33"/>
      <c r="K16" s="856" t="e">
        <f>IF('Tabulka kvalifikace'!$Z$3=0,"",(IF($AG$6=1,(IF(#REF!="","",#REF!)),(IF(#REF!="","",#REF!)))))</f>
        <v>#REF!</v>
      </c>
      <c r="L16" s="26"/>
      <c r="M16" s="33"/>
      <c r="N16" s="731" t="str">
        <f>IF(D16="","",(F16+I16+L16+S16))</f>
        <v/>
      </c>
      <c r="O16" s="733" t="str">
        <f>IF(D16="","",(F17+I17+L17+T16))</f>
        <v/>
      </c>
      <c r="P16" s="738" t="str">
        <f>IF(D16="","",(G16+J16+M16+U16))</f>
        <v/>
      </c>
      <c r="Q16" s="722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 xml:space="preserve">Černota Pavel </v>
      </c>
      <c r="AC16" s="79" t="str">
        <f>'Vážní listina'!E13</f>
        <v>Tichá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60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3">
      <c r="A17" s="871"/>
      <c r="B17" s="845"/>
      <c r="C17" s="886"/>
      <c r="D17" s="813"/>
      <c r="E17" s="819"/>
      <c r="F17" s="29"/>
      <c r="G17" s="30"/>
      <c r="H17" s="819"/>
      <c r="I17" s="29"/>
      <c r="J17" s="30"/>
      <c r="K17" s="878"/>
      <c r="L17" s="29"/>
      <c r="M17" s="30"/>
      <c r="N17" s="829"/>
      <c r="O17" s="887"/>
      <c r="P17" s="841"/>
      <c r="Q17" s="825"/>
      <c r="S17" s="58"/>
      <c r="T17" s="58"/>
      <c r="U17" s="58"/>
      <c r="Z17" s="160"/>
      <c r="AA17" s="150">
        <f t="shared" si="5"/>
        <v>8</v>
      </c>
      <c r="AB17" s="79">
        <f>'Vážní listina'!D14</f>
        <v>0</v>
      </c>
      <c r="AC17" s="79">
        <f>'Vážní listina'!E14</f>
        <v>0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5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5">
      <c r="A19" s="683" t="str">
        <f>CONCATENATE([1]List1!$A$22)</f>
        <v>Repasáž - dolní větev</v>
      </c>
      <c r="B19" s="683"/>
      <c r="C19" s="683"/>
      <c r="D19" s="683"/>
      <c r="E19" s="683"/>
      <c r="F19" s="683"/>
      <c r="G19" s="683"/>
      <c r="H19" s="683"/>
      <c r="I19" s="683"/>
      <c r="J19" s="683"/>
      <c r="K19" s="683"/>
      <c r="L19" s="683"/>
      <c r="M19" s="683"/>
      <c r="N19" s="683"/>
      <c r="O19" s="683"/>
      <c r="P19" s="683"/>
      <c r="Q19" s="683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3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24" t="str">
        <f>CONCATENATE([1]List1!$A$23)</f>
        <v>1. repas</v>
      </c>
      <c r="F21" s="725"/>
      <c r="G21" s="726"/>
      <c r="H21" s="724" t="str">
        <f>CONCATENATE([1]List1!$A$24)</f>
        <v>2. repas</v>
      </c>
      <c r="I21" s="725"/>
      <c r="J21" s="726"/>
      <c r="K21" s="724" t="str">
        <f>CONCATENATE([1]List1!$A$25)</f>
        <v>3. repas</v>
      </c>
      <c r="L21" s="725"/>
      <c r="M21" s="726"/>
      <c r="N21" s="755" t="str">
        <f>CONCATENATE([1]List1!$A$17)</f>
        <v>výsledky              B   T   O</v>
      </c>
      <c r="O21" s="756"/>
      <c r="P21" s="757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1" t="str">
        <f>E21</f>
        <v>1. repas</v>
      </c>
      <c r="AM21" s="681"/>
      <c r="AN21" s="681"/>
      <c r="AO21" s="681"/>
      <c r="AP21" s="518"/>
      <c r="AQ21" s="681" t="str">
        <f>H21</f>
        <v>2. repas</v>
      </c>
      <c r="AR21" s="681"/>
      <c r="AS21" s="681"/>
      <c r="AT21" s="681"/>
      <c r="AU21" s="518"/>
      <c r="AV21" s="742" t="str">
        <f>K21</f>
        <v>3. repas</v>
      </c>
      <c r="AW21" s="742"/>
      <c r="AX21" s="742"/>
      <c r="AY21" s="742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81" t="str">
        <f>E21</f>
        <v>1. repas</v>
      </c>
      <c r="CE21" s="881"/>
      <c r="CF21" s="889" t="str">
        <f>H21</f>
        <v>2. repas</v>
      </c>
      <c r="CG21" s="890"/>
      <c r="CH21" s="881" t="str">
        <f>K21</f>
        <v>3. repas</v>
      </c>
      <c r="CI21" s="881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3">
      <c r="A22" s="867" t="str">
        <f>IF('Tabulka kvalifikace'!AC5="","",(IF(D22="","",(INDEX($AB$10:$AB$41,D22)))))</f>
        <v>Katrinec Vratko</v>
      </c>
      <c r="B22" s="861" t="str">
        <f>IF('Tabulka kvalifikace'!AC5="","",(IF(D22="","",(INDEX($AC$10:$AC$41,D22)))))</f>
        <v>Trenčín</v>
      </c>
      <c r="C22" s="883"/>
      <c r="D22" s="810">
        <f>IF('Tabulka kvalifikace'!AC5="","",('Tabulka kvalifikace'!FS97))</f>
        <v>5</v>
      </c>
      <c r="E22" s="774">
        <f>IF('Tabulka kvalifikace'!AC5="","",('Tabulka kvalifikace'!FT97))</f>
        <v>6</v>
      </c>
      <c r="F22" s="24">
        <f>IF(D22="","",IF(AN22="",BU22,AN22))</f>
        <v>0</v>
      </c>
      <c r="G22" s="25"/>
      <c r="H22" s="774">
        <f>IF('Tabulka kvalifikace'!AC5="","",('Tabulka kvalifikace'!FW97))</f>
        <v>7</v>
      </c>
      <c r="I22" s="24">
        <f>IF(D22="","",IF(AS22="",BX22,AS22))</f>
        <v>0</v>
      </c>
      <c r="J22" s="25"/>
      <c r="K22" s="879" t="str">
        <f>IF('Tabulka kvalifikace'!AC5="","",('Tabulka kvalifikace'!FZ97))</f>
        <v>VL</v>
      </c>
      <c r="L22" s="24" t="str">
        <f>IF(AX22="",CA22,AX22)</f>
        <v/>
      </c>
      <c r="M22" s="25"/>
      <c r="N22" s="848">
        <f>BF22</f>
        <v>0</v>
      </c>
      <c r="O22" s="821">
        <f>BF23</f>
        <v>0</v>
      </c>
      <c r="P22" s="888">
        <f>BK22</f>
        <v>0</v>
      </c>
      <c r="Q22" s="723" t="str">
        <f>IF($Q$8="","",(IF('Tabulka kvalifikace'!AC5="","",(DG22))))</f>
        <v>FIII</v>
      </c>
      <c r="S22" s="58"/>
      <c r="T22" s="58"/>
      <c r="U22" s="685">
        <f>IF($Q$8="","",(IF('Tabulka kvalifikace'!AC5="","",(DH22))))</f>
        <v>3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42"/>
      <c r="AI22" s="495"/>
      <c r="AJ22" s="495"/>
      <c r="AK22" s="391"/>
      <c r="AL22" s="810" t="str">
        <f>IF(D22="","",'Tabulka kvalifikace'!GO121)</f>
        <v>xxx</v>
      </c>
      <c r="AM22" s="809" t="str">
        <f>AL24</f>
        <v>xxx</v>
      </c>
      <c r="AN22" s="24"/>
      <c r="AO22" s="25"/>
      <c r="AP22" s="518"/>
      <c r="AQ22" s="810" t="str">
        <f>IF(D22="","",'Tabulka kvalifikace'!GS121)</f>
        <v>xxx</v>
      </c>
      <c r="AR22" s="809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0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0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10">
        <f>D22</f>
        <v>5</v>
      </c>
      <c r="BT22" s="774">
        <f>'Tabulka kvalifikace'!FT97</f>
        <v>6</v>
      </c>
      <c r="BU22" s="24">
        <f>'Tabulka kvalifikace'!FU97</f>
        <v>0</v>
      </c>
      <c r="BV22" s="25"/>
      <c r="BW22" s="774">
        <f>'Tabulka kvalifikace'!FW97</f>
        <v>7</v>
      </c>
      <c r="BX22" s="24">
        <f>'Tabulka kvalifikace'!FX97</f>
        <v>0</v>
      </c>
      <c r="BY22" s="25"/>
      <c r="BZ22" s="879" t="str">
        <f>'Tabulka kvalifikace'!FZ97</f>
        <v>VL</v>
      </c>
      <c r="CA22" s="24" t="str">
        <f>'Tabulka kvalifikace'!GA97</f>
        <v/>
      </c>
      <c r="CB22" s="25"/>
      <c r="CC22" s="435">
        <f>D22</f>
        <v>5</v>
      </c>
      <c r="CD22" s="395">
        <f>F22</f>
        <v>0</v>
      </c>
      <c r="CE22" s="395">
        <f>F23</f>
        <v>0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0</v>
      </c>
      <c r="CK22" s="431">
        <f>O22</f>
        <v>0</v>
      </c>
      <c r="CL22" s="179"/>
      <c r="CM22" s="179"/>
      <c r="CN22" s="437">
        <f>IF(CD22=5,1,0)+IF(CF22=5,1,0)+IF(CH22=5,1,0)</f>
        <v>0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1000000094.051</v>
      </c>
      <c r="CT22" s="179"/>
      <c r="CU22" s="661">
        <f>LARGE($CS$22:$CS$24,CR22)</f>
        <v>1101220093.0609999</v>
      </c>
      <c r="CV22" s="395">
        <f>LEN(CU22)</f>
        <v>14</v>
      </c>
      <c r="CW22" s="179"/>
      <c r="CX22" s="395">
        <f>VALUE(MID(CU22,CV22-1,2))</f>
        <v>61</v>
      </c>
      <c r="CY22" s="179"/>
      <c r="CZ22" s="395">
        <f>100000+CX22*100+CZ3</f>
        <v>106101</v>
      </c>
      <c r="DA22" s="395">
        <f>SMALL($CZ$22:$CZ$24,CR22)</f>
        <v>105103</v>
      </c>
      <c r="DB22" s="395">
        <f>LEN(DA22)</f>
        <v>6</v>
      </c>
      <c r="DC22" s="395">
        <f>VALUE(MID(DA22,DB22-1,2))</f>
        <v>3</v>
      </c>
      <c r="DD22" s="395"/>
      <c r="DE22" s="395" t="str">
        <f>IF(DC22=$CZ$3,$DA$3,IF(DC22=$CZ$4,$DA$4,IF(DC22=$CZ$5,$DA$5,"")))</f>
        <v>FIII</v>
      </c>
      <c r="DF22" s="395"/>
      <c r="DG22" s="395" t="str">
        <f>DE22</f>
        <v>FIII</v>
      </c>
      <c r="DH22" s="395">
        <f>DC22</f>
        <v>3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3">
      <c r="A23" s="832"/>
      <c r="B23" s="844"/>
      <c r="C23" s="884"/>
      <c r="D23" s="811"/>
      <c r="E23" s="721"/>
      <c r="F23" s="29">
        <f>IF(D22="","",IF(AN23="",BU23,AN23))</f>
        <v>0</v>
      </c>
      <c r="G23" s="28"/>
      <c r="H23" s="721"/>
      <c r="I23" s="29">
        <f>IF(D22="","",IF(AS23="",BX23,AS23))</f>
        <v>0</v>
      </c>
      <c r="J23" s="28"/>
      <c r="K23" s="856"/>
      <c r="L23" s="29" t="str">
        <f>IF(AX23="",CA23,AX23)</f>
        <v/>
      </c>
      <c r="M23" s="28"/>
      <c r="N23" s="851"/>
      <c r="O23" s="836"/>
      <c r="P23" s="831"/>
      <c r="Q23" s="722"/>
      <c r="S23" s="58"/>
      <c r="T23" s="58"/>
      <c r="U23" s="685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42"/>
      <c r="AI23" s="495"/>
      <c r="AJ23" s="495"/>
      <c r="AK23" s="391"/>
      <c r="AL23" s="811">
        <f>D24</f>
        <v>6</v>
      </c>
      <c r="AM23" s="721"/>
      <c r="AN23" s="27"/>
      <c r="AO23" s="28"/>
      <c r="AP23" s="518"/>
      <c r="AQ23" s="811" t="str">
        <f>I24</f>
        <v/>
      </c>
      <c r="AR23" s="721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0</v>
      </c>
      <c r="BD23" s="495">
        <f t="shared" si="7"/>
        <v>0</v>
      </c>
      <c r="BE23" s="495" t="str">
        <f t="shared" si="8"/>
        <v/>
      </c>
      <c r="BF23" s="498">
        <f t="shared" si="9"/>
        <v>0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11"/>
      <c r="BT23" s="721"/>
      <c r="BU23" s="27">
        <f>'Tabulka kvalifikace'!FV97</f>
        <v>0</v>
      </c>
      <c r="BV23" s="28"/>
      <c r="BW23" s="721"/>
      <c r="BX23" s="27">
        <f>'Tabulka kvalifikace'!FY97</f>
        <v>0</v>
      </c>
      <c r="BY23" s="28"/>
      <c r="BZ23" s="856"/>
      <c r="CA23" s="27" t="str">
        <f>'Tabulka kvalifikace'!GB97</f>
        <v/>
      </c>
      <c r="CB23" s="28"/>
      <c r="CC23" s="435">
        <f>D24</f>
        <v>6</v>
      </c>
      <c r="CD23" s="395">
        <f>F24</f>
        <v>5</v>
      </c>
      <c r="CE23" s="395">
        <f>F25</f>
        <v>8</v>
      </c>
      <c r="CF23" s="397" t="str">
        <f>I24</f>
        <v/>
      </c>
      <c r="CG23" s="396" t="str">
        <f>I25</f>
        <v/>
      </c>
      <c r="CH23" s="395">
        <f>L24</f>
        <v>5</v>
      </c>
      <c r="CI23" s="395">
        <f>L25</f>
        <v>4</v>
      </c>
      <c r="CJ23" s="255">
        <f>N24</f>
        <v>10</v>
      </c>
      <c r="CK23" s="431">
        <f>O24</f>
        <v>12</v>
      </c>
      <c r="CL23" s="179"/>
      <c r="CM23" s="179"/>
      <c r="CN23" s="437">
        <f>IF(CD23=5,1,0)+IF(CF23=5,1,0)+IF(CH23=5,1,0)</f>
        <v>2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1101220093.0609999</v>
      </c>
      <c r="CT23" s="179"/>
      <c r="CU23" s="661">
        <f>LARGE($CS$22:$CS$24,CR23)</f>
        <v>1050410092.0710001</v>
      </c>
      <c r="CV23" s="395">
        <f>LEN(CU23)</f>
        <v>14</v>
      </c>
      <c r="CW23" s="179"/>
      <c r="CX23" s="395">
        <f>VALUE(MID(CU23,CV23-1,2))</f>
        <v>71</v>
      </c>
      <c r="CY23" s="179"/>
      <c r="CZ23" s="395">
        <f>100000+CX23*100+CZ4</f>
        <v>107102</v>
      </c>
      <c r="DA23" s="395">
        <f>SMALL($CZ$22:$CZ$24,CR23)</f>
        <v>106101</v>
      </c>
      <c r="DB23" s="395">
        <f>LEN(DA23)</f>
        <v>6</v>
      </c>
      <c r="DC23" s="395">
        <f>VALUE(MID(DA23,DB23-1,2))</f>
        <v>1</v>
      </c>
      <c r="DD23" s="395"/>
      <c r="DE23" s="395" t="str">
        <f>IF(DC23=$CZ$3,$DA$3,IF(DC23=$CZ$4,$DA$4,IF(DC23=$CZ$5,$DA$5,"")))</f>
        <v>FI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3">
      <c r="A24" s="832" t="str">
        <f>IF('Tabulka kvalifikace'!AC5="","",(IF(D24="","",(INDEX($AB$10:$AB$41,D24)))))</f>
        <v>Staníček David</v>
      </c>
      <c r="B24" s="844" t="str">
        <f>IF('Tabulka kvalifikace'!AC5="","",(IF(D24="","",(INDEX($AC$10:$AC$41,D24)))))</f>
        <v>Krn.</v>
      </c>
      <c r="C24" s="884"/>
      <c r="D24" s="812">
        <f>IF('Tabulka kvalifikace'!AC5="","",('Tabulka kvalifikace'!FS98))</f>
        <v>6</v>
      </c>
      <c r="E24" s="721">
        <f>IF('Tabulka kvalifikace'!AC5="","",('Tabulka kvalifikace'!FT98))</f>
        <v>5</v>
      </c>
      <c r="F24" s="31">
        <f>IF(D24="","",IF(AN24="",BU24,AN24))</f>
        <v>5</v>
      </c>
      <c r="G24" s="32"/>
      <c r="H24" s="721" t="str">
        <f>IF('Tabulka kvalifikace'!AC5="","",('Tabulka kvalifikace'!FW98))</f>
        <v>VL</v>
      </c>
      <c r="I24" s="31" t="str">
        <f>IF(AS24="",BX24,AS24)</f>
        <v/>
      </c>
      <c r="J24" s="32"/>
      <c r="K24" s="856">
        <f>IF('Tabulka kvalifikace'!AC5="","",('Tabulka kvalifikace'!FZ98))</f>
        <v>7</v>
      </c>
      <c r="L24" s="31">
        <f>IF(D24="","",IF(AX24="",CA24,AX24))</f>
        <v>5</v>
      </c>
      <c r="M24" s="32"/>
      <c r="N24" s="850">
        <f>BF24</f>
        <v>10</v>
      </c>
      <c r="O24" s="835">
        <f>BF25</f>
        <v>12</v>
      </c>
      <c r="P24" s="830">
        <f>BK24</f>
        <v>0</v>
      </c>
      <c r="Q24" s="722" t="str">
        <f>IF($Q$8="","",(IF('Tabulka kvalifikace'!AC5="","",(DG24))))</f>
        <v>FI</v>
      </c>
      <c r="S24" s="58"/>
      <c r="T24" s="58"/>
      <c r="U24" s="685">
        <f>IF($Q$8="","",(IF('Tabulka kvalifikace'!AC5="","",(DH24))))</f>
        <v>1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12" t="str">
        <f>IF(D24="","",'Tabulka kvalifikace'!GP121)</f>
        <v>xxx</v>
      </c>
      <c r="AM24" s="820" t="str">
        <f>IF(D24="","",AL22)</f>
        <v>xxx</v>
      </c>
      <c r="AN24" s="31"/>
      <c r="AO24" s="32"/>
      <c r="AP24" s="518"/>
      <c r="AQ24" s="814"/>
      <c r="AR24" s="815"/>
      <c r="AS24" s="45"/>
      <c r="AT24" s="45"/>
      <c r="AU24" s="518"/>
      <c r="AV24" s="810" t="str">
        <f>IF(D24="","",'Tabulka kvalifikace'!GU121)</f>
        <v>xxx</v>
      </c>
      <c r="AW24" s="809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5</v>
      </c>
      <c r="BD24" s="495" t="str">
        <f t="shared" si="7"/>
        <v/>
      </c>
      <c r="BE24" s="495">
        <f t="shared" si="8"/>
        <v>5</v>
      </c>
      <c r="BF24" s="498">
        <f t="shared" si="9"/>
        <v>10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12">
        <f>D24</f>
        <v>6</v>
      </c>
      <c r="BT24" s="721">
        <f>E24</f>
        <v>5</v>
      </c>
      <c r="BU24" s="31">
        <f>'Tabulka kvalifikace'!FU98</f>
        <v>5</v>
      </c>
      <c r="BV24" s="32"/>
      <c r="BW24" s="721" t="str">
        <f>'Tabulka kvalifikace'!FW98</f>
        <v>VL</v>
      </c>
      <c r="BX24" s="31" t="str">
        <f>'Tabulka kvalifikace'!FX98</f>
        <v/>
      </c>
      <c r="BY24" s="32"/>
      <c r="BZ24" s="856">
        <f>'Tabulka kvalifikace'!FZ98</f>
        <v>7</v>
      </c>
      <c r="CA24" s="31">
        <f>'Tabulka kvalifikace'!GA98</f>
        <v>5</v>
      </c>
      <c r="CB24" s="32"/>
      <c r="CC24" s="436">
        <f>D26</f>
        <v>7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4</v>
      </c>
      <c r="CH24" s="394">
        <f>L26</f>
        <v>0</v>
      </c>
      <c r="CI24" s="394">
        <f>L27</f>
        <v>0</v>
      </c>
      <c r="CJ24" s="432">
        <f>N26</f>
        <v>5</v>
      </c>
      <c r="CK24" s="433">
        <f>O26</f>
        <v>4</v>
      </c>
      <c r="CL24" s="179"/>
      <c r="CM24" s="179"/>
      <c r="CN24" s="439">
        <f>IF(CD24=5,1,0)+IF(CF24=5,1,0)+IF(CH24=5,1,0)</f>
        <v>1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1050410092.0710001</v>
      </c>
      <c r="CT24" s="179"/>
      <c r="CU24" s="661">
        <f>LARGE($CS$22:$CS$24,CR24)</f>
        <v>1000000094.051</v>
      </c>
      <c r="CV24" s="395">
        <f>LEN(CU24)</f>
        <v>14</v>
      </c>
      <c r="CW24" s="179"/>
      <c r="CX24" s="395">
        <f>VALUE(MID(CU24,CV24-1,2))</f>
        <v>51</v>
      </c>
      <c r="CY24" s="179"/>
      <c r="CZ24" s="395">
        <f>100000+CX24*100+CZ5</f>
        <v>105103</v>
      </c>
      <c r="DA24" s="395">
        <f>SMALL($CZ$22:$CZ$24,CR24)</f>
        <v>107102</v>
      </c>
      <c r="DB24" s="395">
        <f>LEN(DA24)</f>
        <v>6</v>
      </c>
      <c r="DC24" s="395">
        <f>VALUE(MID(DA24,DB24-1,2))</f>
        <v>2</v>
      </c>
      <c r="DD24" s="395"/>
      <c r="DE24" s="395" t="str">
        <f>IF(DC24=$CZ$3,$DA$3,IF(DC24=$CZ$4,$DA$4,IF(DC24=$CZ$5,$DA$5,"")))</f>
        <v>FII</v>
      </c>
      <c r="DF24" s="395"/>
      <c r="DG24" s="395" t="str">
        <f>DE23</f>
        <v>FI</v>
      </c>
      <c r="DH24" s="395">
        <f>DC23</f>
        <v>1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3">
      <c r="A25" s="832"/>
      <c r="B25" s="844"/>
      <c r="C25" s="884"/>
      <c r="D25" s="811"/>
      <c r="E25" s="721"/>
      <c r="F25" s="29">
        <f>IF(D24="","",IF(AN25="",BU25,AN25))</f>
        <v>8</v>
      </c>
      <c r="G25" s="30"/>
      <c r="H25" s="721"/>
      <c r="I25" s="29" t="str">
        <f>IF(AS25="",BX25,AS25)</f>
        <v/>
      </c>
      <c r="J25" s="30"/>
      <c r="K25" s="856"/>
      <c r="L25" s="29">
        <f>IF(D24="","",IF(AX25="",CA25,AX25))</f>
        <v>4</v>
      </c>
      <c r="M25" s="30"/>
      <c r="N25" s="851"/>
      <c r="O25" s="836"/>
      <c r="P25" s="831"/>
      <c r="Q25" s="722"/>
      <c r="S25" s="58"/>
      <c r="T25" s="58"/>
      <c r="U25" s="685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13"/>
      <c r="AM25" s="819"/>
      <c r="AN25" s="34"/>
      <c r="AO25" s="35"/>
      <c r="AP25" s="518"/>
      <c r="AQ25" s="681"/>
      <c r="AR25" s="816"/>
      <c r="AS25" s="521"/>
      <c r="AT25" s="521"/>
      <c r="AU25" s="518"/>
      <c r="AV25" s="811">
        <f>N26</f>
        <v>5</v>
      </c>
      <c r="AW25" s="721"/>
      <c r="AX25" s="27"/>
      <c r="AY25" s="28"/>
      <c r="AZ25" s="520"/>
      <c r="BA25" s="495"/>
      <c r="BB25" s="495"/>
      <c r="BC25" s="495">
        <f t="shared" si="6"/>
        <v>8</v>
      </c>
      <c r="BD25" s="495" t="str">
        <f t="shared" si="7"/>
        <v/>
      </c>
      <c r="BE25" s="495">
        <f t="shared" si="8"/>
        <v>4</v>
      </c>
      <c r="BF25" s="498">
        <f t="shared" si="9"/>
        <v>12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11"/>
      <c r="BT25" s="721"/>
      <c r="BU25" s="29">
        <f>'Tabulka kvalifikace'!FV98</f>
        <v>8</v>
      </c>
      <c r="BV25" s="30"/>
      <c r="BW25" s="721"/>
      <c r="BX25" s="29" t="str">
        <f>'Tabulka kvalifikace'!FY98</f>
        <v/>
      </c>
      <c r="BY25" s="30"/>
      <c r="BZ25" s="856"/>
      <c r="CA25" s="29">
        <f>'Tabulka kvalifikace'!GB98</f>
        <v>4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3">
      <c r="A26" s="832" t="str">
        <f>IF('Tabulka kvalifikace'!AC5="","",(IF(D26="","",(INDEX($AB$10:$AB$41,D26)))))</f>
        <v xml:space="preserve">Černota Pavel </v>
      </c>
      <c r="B26" s="844" t="str">
        <f>IF('Tabulka kvalifikace'!AC5="","",(IF(D26="","",INDEX($AC$10:$AC$41,D26))))</f>
        <v>Tichá</v>
      </c>
      <c r="C26" s="884"/>
      <c r="D26" s="812">
        <f>IF('Tabulka kvalifikace'!AC5="","",('Tabulka kvalifikace'!FS99))</f>
        <v>7</v>
      </c>
      <c r="E26" s="721" t="str">
        <f>IF('Tabulka kvalifikace'!AC5="","",('Tabulka kvalifikace'!FT99))</f>
        <v>VL</v>
      </c>
      <c r="F26" s="26" t="str">
        <f>IF(AN26="",BU26,AN26)</f>
        <v/>
      </c>
      <c r="G26" s="33"/>
      <c r="H26" s="721">
        <f>IF('Tabulka kvalifikace'!AC5="","",('Tabulka kvalifikace'!FW99))</f>
        <v>5</v>
      </c>
      <c r="I26" s="26">
        <f>IF(D26="","",IF(AS26="",BX26,AS26))</f>
        <v>5</v>
      </c>
      <c r="J26" s="33"/>
      <c r="K26" s="856">
        <f>IF('Tabulka kvalifikace'!AC5="","",('Tabulka kvalifikace'!FZ99))</f>
        <v>6</v>
      </c>
      <c r="L26" s="26">
        <f>IF(D26="","",IF(AX26="",CA26,AX26))</f>
        <v>0</v>
      </c>
      <c r="M26" s="33"/>
      <c r="N26" s="850">
        <f>BF26</f>
        <v>5</v>
      </c>
      <c r="O26" s="835">
        <f>BF27</f>
        <v>4</v>
      </c>
      <c r="P26" s="830">
        <f>BK26</f>
        <v>0</v>
      </c>
      <c r="Q26" s="722" t="str">
        <f>IF($Q$8="","",(IF('Tabulka kvalifikace'!AC5="","",(DG26))))</f>
        <v>FII</v>
      </c>
      <c r="S26" s="58"/>
      <c r="T26" s="58"/>
      <c r="U26" s="685">
        <f>IF($Q$8="","",(IF('Tabulka kvalifikace'!AC5="","",(DH26))))</f>
        <v>2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0</v>
      </c>
      <c r="AE26" s="156">
        <f>'Tabulka kvalifikace'!AA40</f>
        <v>0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17" t="str">
        <f>IF(D26="","",'Tabulka kvalifikace'!GR121)</f>
        <v>xxx</v>
      </c>
      <c r="AR26" s="818" t="str">
        <f>AQ22</f>
        <v>xxx</v>
      </c>
      <c r="AS26" s="26"/>
      <c r="AT26" s="33"/>
      <c r="AU26" s="518"/>
      <c r="AV26" s="812" t="str">
        <f>IF(D26="","",'Tabulka kvalifikace'!GV121)</f>
        <v>xxx</v>
      </c>
      <c r="AW26" s="820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0</v>
      </c>
      <c r="BF26" s="498">
        <f t="shared" si="9"/>
        <v>5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12">
        <f>D26</f>
        <v>7</v>
      </c>
      <c r="BT26" s="721" t="str">
        <f>E26</f>
        <v>VL</v>
      </c>
      <c r="BU26" s="411" t="str">
        <f>'Tabulka kvalifikace'!FU99</f>
        <v/>
      </c>
      <c r="BV26" s="32"/>
      <c r="BW26" s="721">
        <f>'Tabulka kvalifikace'!FW99</f>
        <v>5</v>
      </c>
      <c r="BX26" s="31">
        <f>'Tabulka kvalifikace'!FX99</f>
        <v>5</v>
      </c>
      <c r="BY26" s="32"/>
      <c r="BZ26" s="856">
        <f>'Tabulka kvalifikace'!FZ99</f>
        <v>6</v>
      </c>
      <c r="CA26" s="31">
        <f>'Tabulka kvalifikace'!GA99</f>
        <v>0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FII</v>
      </c>
      <c r="DH26" s="395">
        <f>DC24</f>
        <v>2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3">
      <c r="A27" s="832"/>
      <c r="B27" s="844"/>
      <c r="C27" s="884"/>
      <c r="D27" s="811"/>
      <c r="E27" s="721"/>
      <c r="F27" s="511" t="str">
        <f>IF(AN27="",BU27,AN27)</f>
        <v/>
      </c>
      <c r="G27" s="30"/>
      <c r="H27" s="721"/>
      <c r="I27" s="511">
        <f>IF(D26="","",IF(AS27="",BX27,AS27))</f>
        <v>4</v>
      </c>
      <c r="J27" s="30"/>
      <c r="K27" s="856"/>
      <c r="L27" s="511">
        <f>IF(D26="","",IF(AX27="",CA27,AX27))</f>
        <v>0</v>
      </c>
      <c r="M27" s="30"/>
      <c r="N27" s="851"/>
      <c r="O27" s="836"/>
      <c r="P27" s="831"/>
      <c r="Q27" s="722"/>
      <c r="R27" s="386"/>
      <c r="S27" s="58"/>
      <c r="T27" s="58"/>
      <c r="U27" s="685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10</v>
      </c>
      <c r="AE27" s="156">
        <f>'Tabulka kvalifikace'!AA42</f>
        <v>12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13"/>
      <c r="AR27" s="819"/>
      <c r="AS27" s="34"/>
      <c r="AT27" s="35"/>
      <c r="AU27" s="518"/>
      <c r="AV27" s="813"/>
      <c r="AW27" s="819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4</v>
      </c>
      <c r="BE27" s="495">
        <f t="shared" si="8"/>
        <v>0</v>
      </c>
      <c r="BF27" s="498">
        <f t="shared" si="9"/>
        <v>4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13"/>
      <c r="BT27" s="819"/>
      <c r="BU27" s="412" t="str">
        <f>'Tabulka kvalifikace'!FV99</f>
        <v/>
      </c>
      <c r="BV27" s="35"/>
      <c r="BW27" s="819"/>
      <c r="BX27" s="34">
        <f>'Tabulka kvalifikace'!FY99</f>
        <v>4</v>
      </c>
      <c r="BY27" s="35"/>
      <c r="BZ27" s="878"/>
      <c r="CA27" s="34">
        <f>'Tabulka kvalifikace'!GB99</f>
        <v>0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3">
      <c r="A28" s="832" t="str">
        <f>IF(D28="","",(INDEX($AB$10:$AB$41,D28)))</f>
        <v/>
      </c>
      <c r="B28" s="844" t="str">
        <f>IF(D28="","",(INDEX($AC$10:$AC$41,D28)))</f>
        <v/>
      </c>
      <c r="C28" s="884"/>
      <c r="D28" s="812"/>
      <c r="E28" s="721"/>
      <c r="F28" s="26"/>
      <c r="G28" s="33"/>
      <c r="H28" s="721"/>
      <c r="I28" s="26"/>
      <c r="J28" s="33"/>
      <c r="K28" s="856" t="e">
        <f>IF('Tabulka kvalifikace'!$Z$3=0,"",(IF(#REF!="","",#REF!)))</f>
        <v>#REF!</v>
      </c>
      <c r="L28" s="26"/>
      <c r="M28" s="33"/>
      <c r="N28" s="731" t="str">
        <f>IF(D28="","",(F28+I28+L28+S28))</f>
        <v/>
      </c>
      <c r="O28" s="733" t="str">
        <f>IF(D28="","",(F29+I29+L29+T28))</f>
        <v/>
      </c>
      <c r="P28" s="738" t="str">
        <f>IF(D28="","",(G28+J28+M28+U28))</f>
        <v/>
      </c>
      <c r="Q28" s="722" t="str">
        <f>IF(D28="","",(INDEX('Tabulka kvalifikace'!#REF!,D28)))</f>
        <v/>
      </c>
      <c r="R28" s="386"/>
      <c r="S28" s="685" t="str">
        <f>IF(D28="","",(INDEX($AD$10:$AD$41,D28)))</f>
        <v/>
      </c>
      <c r="T28" s="685" t="str">
        <f>IF(D28="","",(INDEX($AE$10:$AE$41,D28)))</f>
        <v/>
      </c>
      <c r="U28" s="685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5</v>
      </c>
      <c r="AE28" s="156">
        <f>'Tabulka kvalifikace'!AA44</f>
        <v>4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3">
      <c r="A29" s="871"/>
      <c r="B29" s="845"/>
      <c r="C29" s="886"/>
      <c r="D29" s="813"/>
      <c r="E29" s="819"/>
      <c r="F29" s="29"/>
      <c r="G29" s="30"/>
      <c r="H29" s="819"/>
      <c r="I29" s="29"/>
      <c r="J29" s="30"/>
      <c r="K29" s="878"/>
      <c r="L29" s="29"/>
      <c r="M29" s="30"/>
      <c r="N29" s="829"/>
      <c r="O29" s="887"/>
      <c r="P29" s="841"/>
      <c r="Q29" s="825"/>
      <c r="R29" s="386"/>
      <c r="S29" s="685"/>
      <c r="T29" s="685"/>
      <c r="U29" s="685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 t="str">
        <f>'Tabulka kvalifikace'!Z46</f>
        <v/>
      </c>
      <c r="AE29" s="156" t="str">
        <f>'Tabulka kvalifikace'!AA46</f>
        <v/>
      </c>
      <c r="AF29" s="156" t="str">
        <f>'Tabulka kvalifikace'!AB46</f>
        <v/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3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3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3">
      <c r="A32" s="870" t="str">
        <f>[1]List1!$E$21</f>
        <v>Finále o 5. - 6. místo</v>
      </c>
      <c r="B32" s="870"/>
      <c r="C32" s="870"/>
      <c r="D32" s="870"/>
      <c r="E32" s="870"/>
      <c r="F32" s="870"/>
      <c r="G32" s="870"/>
      <c r="H32" s="422"/>
      <c r="I32" s="885" t="str">
        <f>[2]Soutěž!$E$7</f>
        <v>Bojovat o 5. místo</v>
      </c>
      <c r="J32" s="860"/>
      <c r="K32" s="860"/>
      <c r="L32" s="860"/>
      <c r="M32" s="860"/>
      <c r="N32" s="860"/>
      <c r="O32" s="860"/>
      <c r="P32" s="860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3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4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3">
      <c r="A34" s="868" t="str">
        <f>CONCATENATE([1]List1!$B$4)</f>
        <v>příjmení a jméno</v>
      </c>
      <c r="B34" s="852" t="str">
        <f>CONCATENATE([1]List1!$B$5)</f>
        <v>oddíl</v>
      </c>
      <c r="C34" s="854"/>
      <c r="D34" s="858" t="str">
        <f>CONCATENATE([1]List1!$B$7)</f>
        <v>los</v>
      </c>
      <c r="E34" s="692" t="str">
        <f>CONCATENATE([1]List1!$A$26)</f>
        <v>finále</v>
      </c>
      <c r="F34" s="692"/>
      <c r="G34" s="693"/>
      <c r="H34" s="826" t="str">
        <f>CONCATENATE([1]List1!$A$27)</f>
        <v>výsledky</v>
      </c>
      <c r="I34" s="827"/>
      <c r="J34" s="828"/>
      <c r="K34" s="833" t="str">
        <f>CONCATENATE([1]List1!$A$18)</f>
        <v>poř.</v>
      </c>
      <c r="L34" s="834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08" t="str">
        <f>I32</f>
        <v>Bojovat o 5. místo</v>
      </c>
      <c r="BM34" s="808"/>
      <c r="BN34" s="808"/>
      <c r="BO34" s="808"/>
      <c r="BP34" s="808"/>
      <c r="BS34" s="374">
        <v>1</v>
      </c>
      <c r="BT34" s="169">
        <f t="shared" ref="BT34:BT39" si="12">F10</f>
        <v>5</v>
      </c>
      <c r="BU34" s="169">
        <f>IF(BT34="",0,1)</f>
        <v>1</v>
      </c>
      <c r="BW34" s="169">
        <f t="shared" ref="BW34:BW39" si="13">I10</f>
        <v>1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5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3">
      <c r="A35" s="869"/>
      <c r="B35" s="853"/>
      <c r="C35" s="855"/>
      <c r="D35" s="859"/>
      <c r="E35" s="681"/>
      <c r="F35" s="681"/>
      <c r="G35" s="857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33"/>
      <c r="L35" s="834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2</v>
      </c>
      <c r="BU35" s="484">
        <f t="shared" ref="BU35:BU46" si="15">IF(BT35="",0,1)</f>
        <v>1</v>
      </c>
      <c r="BW35" s="484">
        <f t="shared" si="13"/>
        <v>2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3</v>
      </c>
      <c r="CG35" s="419">
        <f>K46</f>
        <v>3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3">
      <c r="A36" s="867" t="str">
        <f>IF(D36="","",(INDEX($AB$10:$AB$41,D36)))</f>
        <v>Tibor Kubík</v>
      </c>
      <c r="B36" s="861" t="str">
        <f>IF(D36="","",INDEX($AC$10:$AC$41,D36))</f>
        <v>Hod.</v>
      </c>
      <c r="C36" s="862"/>
      <c r="D36" s="864">
        <f>IF($U$10=3,$D$10,IF($U$12=3,$D$12,IF($U$14=3,$D$14,"")))</f>
        <v>4</v>
      </c>
      <c r="E36" s="727" t="str">
        <f>IF(BM35=0,"",(CONCATENATE(D38)))</f>
        <v/>
      </c>
      <c r="F36" s="24"/>
      <c r="G36" s="25"/>
      <c r="H36" s="848">
        <f>IF($AA$3="x",(ABS(F36)),0)</f>
        <v>0</v>
      </c>
      <c r="I36" s="821">
        <f>IF($AA$3="x",(ABS(F37)),0)</f>
        <v>0</v>
      </c>
      <c r="J36" s="823">
        <f>ABS(G36)</f>
        <v>0</v>
      </c>
      <c r="K36" s="837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38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0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5</v>
      </c>
      <c r="CA36" s="484">
        <f t="shared" si="17"/>
        <v>1</v>
      </c>
      <c r="CF36" s="391">
        <f>D48</f>
        <v>7</v>
      </c>
      <c r="CG36" s="419">
        <f>K48</f>
        <v>4</v>
      </c>
      <c r="DK36" s="580">
        <f>D36</f>
        <v>4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3">
      <c r="A37" s="832"/>
      <c r="B37" s="844"/>
      <c r="C37" s="863"/>
      <c r="D37" s="865"/>
      <c r="E37" s="728"/>
      <c r="F37" s="27"/>
      <c r="G37" s="28"/>
      <c r="H37" s="849"/>
      <c r="I37" s="822"/>
      <c r="J37" s="824"/>
      <c r="K37" s="839"/>
      <c r="L37" s="840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08" t="str">
        <f>I42</f>
        <v>Bojovat o 3. místo</v>
      </c>
      <c r="BM37" s="808"/>
      <c r="BN37" s="808"/>
      <c r="BO37" s="808"/>
      <c r="BP37" s="808"/>
      <c r="BS37" s="374">
        <v>4</v>
      </c>
      <c r="BT37" s="484">
        <f t="shared" si="12"/>
        <v>0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14</v>
      </c>
      <c r="CA37" s="484">
        <f t="shared" si="17"/>
        <v>1</v>
      </c>
      <c r="CF37" s="391">
        <f>D56</f>
        <v>1</v>
      </c>
      <c r="CG37" s="419">
        <f>K56</f>
        <v>2</v>
      </c>
      <c r="DK37" s="581"/>
      <c r="DL37" s="586"/>
      <c r="DV37" s="169"/>
    </row>
    <row r="38" spans="1:132" ht="14.25" customHeight="1" thickBot="1" x14ac:dyDescent="0.3">
      <c r="A38" s="832" t="str">
        <f>IF(D38="","",INDEX($AB$10:$AB$41,D38))</f>
        <v>Katrinec Vratko</v>
      </c>
      <c r="B38" s="844" t="str">
        <f>IF(D38="","",INDEX($AC$10:$AC$41,D38))</f>
        <v>Trenčín</v>
      </c>
      <c r="C38" s="846"/>
      <c r="D38" s="865">
        <f>IF($U$22=3,$D$22,IF($U$24=3,$D$24,IF($U$26=3,$D$26,"")))</f>
        <v>5</v>
      </c>
      <c r="E38" s="752" t="str">
        <f>IF(BM35=0,"",(CONCATENATE(D36)))</f>
        <v/>
      </c>
      <c r="F38" s="31"/>
      <c r="G38" s="32"/>
      <c r="H38" s="874">
        <f>IF($AA$3="x",(ABS(F38)),0)</f>
        <v>0</v>
      </c>
      <c r="I38" s="876">
        <f>IF($AA$3="x",(ABS(F39)),0)</f>
        <v>0</v>
      </c>
      <c r="J38" s="872">
        <f>ABS(G38)</f>
        <v>0</v>
      </c>
      <c r="K38" s="839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40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3</v>
      </c>
      <c r="BX38" s="484">
        <f t="shared" si="16"/>
        <v>1</v>
      </c>
      <c r="BZ38" s="484">
        <f t="shared" si="14"/>
        <v>0</v>
      </c>
      <c r="CA38" s="484">
        <f t="shared" si="17"/>
        <v>1</v>
      </c>
      <c r="CF38" s="392">
        <f>D58</f>
        <v>6</v>
      </c>
      <c r="CG38" s="421">
        <f>K58</f>
        <v>1</v>
      </c>
      <c r="DK38" s="581">
        <f>D38</f>
        <v>5</v>
      </c>
      <c r="DL38" s="581">
        <f>IF(D38="","",(INDEX($EK$55:$EK$92,D38)))</f>
        <v>0</v>
      </c>
      <c r="DV38" s="169"/>
    </row>
    <row r="39" spans="1:132" ht="14.25" customHeight="1" thickBot="1" x14ac:dyDescent="0.3">
      <c r="A39" s="871"/>
      <c r="B39" s="845"/>
      <c r="C39" s="847"/>
      <c r="D39" s="866"/>
      <c r="E39" s="763"/>
      <c r="F39" s="34"/>
      <c r="G39" s="35"/>
      <c r="H39" s="875"/>
      <c r="I39" s="877"/>
      <c r="J39" s="873"/>
      <c r="K39" s="842"/>
      <c r="L39" s="843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10</v>
      </c>
      <c r="BX39" s="484">
        <f t="shared" si="16"/>
        <v>1</v>
      </c>
      <c r="BZ39" s="484">
        <f t="shared" si="14"/>
        <v>4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3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0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3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3">
      <c r="A42" s="870" t="str">
        <f>[1]List1!$C$21</f>
        <v>Finále o 3. - 4. místo</v>
      </c>
      <c r="B42" s="870"/>
      <c r="C42" s="870"/>
      <c r="D42" s="870"/>
      <c r="E42" s="870"/>
      <c r="F42" s="870"/>
      <c r="G42" s="870"/>
      <c r="H42" s="422"/>
      <c r="I42" s="860" t="str">
        <f>IF(CC42=0,"",([2]Soutěž!$E$5))</f>
        <v>Bojovat o 3. místo</v>
      </c>
      <c r="J42" s="860"/>
      <c r="K42" s="860"/>
      <c r="L42" s="860"/>
      <c r="M42" s="860"/>
      <c r="N42" s="860"/>
      <c r="O42" s="860"/>
      <c r="P42" s="860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0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3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5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5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3">
      <c r="A44" s="868" t="str">
        <f>CONCATENATE([1]List1!$B$4)</f>
        <v>příjmení a jméno</v>
      </c>
      <c r="B44" s="852" t="str">
        <f>CONCATENATE([1]List1!$B$5)</f>
        <v>oddíl</v>
      </c>
      <c r="C44" s="854"/>
      <c r="D44" s="858" t="str">
        <f>CONCATENATE([1]List1!$B$7)</f>
        <v>los</v>
      </c>
      <c r="E44" s="692" t="str">
        <f>CONCATENATE([1]List1!$A$26)</f>
        <v>finále</v>
      </c>
      <c r="F44" s="692"/>
      <c r="G44" s="693"/>
      <c r="H44" s="826" t="str">
        <f>CONCATENATE([1]List1!$A$27)</f>
        <v>výsledky</v>
      </c>
      <c r="I44" s="827"/>
      <c r="J44" s="828"/>
      <c r="K44" s="833" t="str">
        <f>CONCATENATE([1]List1!$A$18)</f>
        <v>poř.</v>
      </c>
      <c r="L44" s="834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8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4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3">
      <c r="A45" s="869"/>
      <c r="B45" s="853"/>
      <c r="C45" s="855"/>
      <c r="D45" s="859"/>
      <c r="E45" s="681"/>
      <c r="F45" s="681"/>
      <c r="G45" s="857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33"/>
      <c r="L45" s="834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0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3">
      <c r="A46" s="867" t="str">
        <f>IF(D46="","",(INDEX($AB$10:$AB$41,D46)))</f>
        <v>Dalibor Patkoló</v>
      </c>
      <c r="B46" s="861" t="str">
        <f>IF(D46="","",(INDEX($AC$10:$AC$41,D46)))</f>
        <v>Šam.</v>
      </c>
      <c r="C46" s="862"/>
      <c r="D46" s="864">
        <f>IF($U$10=2,$D$10,IF($U$12=2,$D$12,IF($U$14=2,$D$14,"")))</f>
        <v>3</v>
      </c>
      <c r="E46" s="727" t="str">
        <f>IF(BM38=0,"",(CONCATENATE(D48)))</f>
        <v>7</v>
      </c>
      <c r="F46" s="24">
        <v>4</v>
      </c>
      <c r="G46" s="25"/>
      <c r="H46" s="848">
        <f>ABS(F46)</f>
        <v>4</v>
      </c>
      <c r="I46" s="821">
        <f>ABS(F47)</f>
        <v>16</v>
      </c>
      <c r="J46" s="823">
        <f>ABS(G46)</f>
        <v>0</v>
      </c>
      <c r="K46" s="837">
        <f>IF(BK47=0,"",(IF(GA70=1,HU95,((IF($BB$45=4,(IF(A46="","",(IF(DL46=0,(IF(A46="","",(IF($CE$53=4,(IF(CD42=0,BC37,(IF(F46&gt;2,BC37,BC36)))),"")))),$ED$54)))),""))))))</f>
        <v>3</v>
      </c>
      <c r="L46" s="838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4</v>
      </c>
      <c r="BX46" s="484">
        <f t="shared" si="16"/>
        <v>1</v>
      </c>
      <c r="BZ46" s="484">
        <f>L27</f>
        <v>0</v>
      </c>
      <c r="CA46" s="484">
        <f t="shared" si="17"/>
        <v>1</v>
      </c>
      <c r="CI46" s="509" t="str">
        <f>Q42</f>
        <v>x</v>
      </c>
      <c r="CJ46" s="507"/>
      <c r="DK46" s="581">
        <f>D46</f>
        <v>3</v>
      </c>
      <c r="DL46" s="581">
        <f>IF(D46="","",(INDEX($EK$55:$EK$92,D46)))</f>
        <v>0</v>
      </c>
      <c r="DV46" s="169"/>
    </row>
    <row r="47" spans="1:132" ht="14.25" customHeight="1" thickTop="1" thickBot="1" x14ac:dyDescent="0.3">
      <c r="A47" s="832"/>
      <c r="B47" s="844"/>
      <c r="C47" s="863"/>
      <c r="D47" s="865"/>
      <c r="E47" s="728"/>
      <c r="F47" s="27">
        <v>16</v>
      </c>
      <c r="G47" s="28"/>
      <c r="H47" s="849"/>
      <c r="I47" s="822"/>
      <c r="J47" s="824"/>
      <c r="K47" s="839"/>
      <c r="L47" s="840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3">
      <c r="A48" s="832" t="str">
        <f>IF(D48="","",(INDEX($AB$10:$AB$41,D48)))</f>
        <v xml:space="preserve">Černota Pavel </v>
      </c>
      <c r="B48" s="844" t="str">
        <f>IF(D48="","",(INDEX($AC$10:$AC$41,D48)))</f>
        <v>Tichá</v>
      </c>
      <c r="C48" s="846"/>
      <c r="D48" s="865">
        <f>IF($U$22=2,$D$22,IF($U$24=2,$D$24,IF($U$26=2,$D$26,"")))</f>
        <v>7</v>
      </c>
      <c r="E48" s="752" t="str">
        <f>IF(BM38=0,"",(CONCATENATE(D46)))</f>
        <v>3</v>
      </c>
      <c r="F48" s="31">
        <v>0</v>
      </c>
      <c r="G48" s="32"/>
      <c r="H48" s="874">
        <f>ABS(F48)</f>
        <v>0</v>
      </c>
      <c r="I48" s="876">
        <f>ABS(F49)</f>
        <v>0</v>
      </c>
      <c r="J48" s="872">
        <f>ABS(G48)</f>
        <v>0</v>
      </c>
      <c r="K48" s="839">
        <f>IF(BK47=0,"",(IF(GA70=1,HU96,(IF($BB$45=4,(IF(A48="","",(IF(DL48=0,(IF(A48="","",(IF($CE$53=4,(IF(CD42=0,BC37,(IF(F48&gt;2,BC37,BC36)))),"")))),ED54)))),"")))))</f>
        <v>4</v>
      </c>
      <c r="L48" s="840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7</v>
      </c>
      <c r="DL48" s="581">
        <f>IF(D48="","",(INDEX($EK$55:$EK$92,D48)))</f>
        <v>0</v>
      </c>
      <c r="DV48" s="169"/>
    </row>
    <row r="49" spans="1:145" ht="14.25" customHeight="1" thickBot="1" x14ac:dyDescent="0.3">
      <c r="A49" s="871"/>
      <c r="B49" s="845"/>
      <c r="C49" s="847"/>
      <c r="D49" s="866"/>
      <c r="E49" s="763"/>
      <c r="F49" s="34">
        <v>0</v>
      </c>
      <c r="G49" s="35"/>
      <c r="H49" s="875"/>
      <c r="I49" s="877"/>
      <c r="J49" s="873"/>
      <c r="K49" s="842"/>
      <c r="L49" s="843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5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5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3">
      <c r="A52" s="870" t="str">
        <f>[1]List1!$C$22</f>
        <v>Finále o 1. - 2. místo</v>
      </c>
      <c r="B52" s="870"/>
      <c r="C52" s="870"/>
      <c r="D52" s="870"/>
      <c r="E52" s="870"/>
      <c r="F52" s="870"/>
      <c r="G52" s="870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3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3">
      <c r="A54" s="868" t="str">
        <f>CONCATENATE([1]List1!$B$4)</f>
        <v>příjmení a jméno</v>
      </c>
      <c r="B54" s="852" t="str">
        <f>CONCATENATE([1]List1!$B$5)</f>
        <v>oddíl</v>
      </c>
      <c r="C54" s="854"/>
      <c r="D54" s="858" t="str">
        <f>CONCATENATE([1]List1!$B$7)</f>
        <v>los</v>
      </c>
      <c r="E54" s="692" t="str">
        <f>CONCATENATE([1]List1!$A$26)</f>
        <v>finále</v>
      </c>
      <c r="F54" s="692"/>
      <c r="G54" s="693"/>
      <c r="H54" s="826" t="str">
        <f>CONCATENATE([1]List1!$A$27)</f>
        <v>výsledky</v>
      </c>
      <c r="I54" s="827"/>
      <c r="J54" s="828"/>
      <c r="K54" s="833" t="str">
        <f>CONCATENATE([1]List1!$A$18)</f>
        <v>poř.</v>
      </c>
      <c r="L54" s="834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3">
      <c r="A55" s="869"/>
      <c r="B55" s="853"/>
      <c r="C55" s="855"/>
      <c r="D55" s="859"/>
      <c r="E55" s="681"/>
      <c r="F55" s="681"/>
      <c r="G55" s="857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33"/>
      <c r="L55" s="834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4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3">
      <c r="A56" s="867" t="str">
        <f>IF(D56="","",(INDEX($AB$10:$AB$41,D56)))</f>
        <v>Zatloukal Martin</v>
      </c>
      <c r="B56" s="861" t="str">
        <f>IF(D56="","",INDEX($AC$10:$AC$41,D56))</f>
        <v>Čech.</v>
      </c>
      <c r="C56" s="862"/>
      <c r="D56" s="864">
        <f>IF($U$10=1,$D$10,IF($U$12=1,$D$12,IF($U$14=1,$D$14,"")))</f>
        <v>1</v>
      </c>
      <c r="E56" s="727" t="str">
        <f>CONCATENATE(D58)</f>
        <v>6</v>
      </c>
      <c r="F56" s="24">
        <v>0</v>
      </c>
      <c r="G56" s="25"/>
      <c r="H56" s="848">
        <f>IF($AA$3="x",(ABS(F56)),0)</f>
        <v>0</v>
      </c>
      <c r="I56" s="821">
        <f>IF($AA$3="x",(ABS(F57)),0)</f>
        <v>1</v>
      </c>
      <c r="J56" s="823">
        <f>ABS(G56)</f>
        <v>0</v>
      </c>
      <c r="K56" s="837">
        <f>IF(BK47=0,"",(IF(A56="","",(IF('Tabulka kvalifikace'!AC5="","",(IF(BA54=4,(IF(BC59=0,(IF(A56="","",(IF(F56&gt;2,$BC$39,$BC$38)))),$BC$53)),"")))))))</f>
        <v>2</v>
      </c>
      <c r="L56" s="838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5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1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3">
      <c r="A57" s="832"/>
      <c r="B57" s="844"/>
      <c r="C57" s="863"/>
      <c r="D57" s="865"/>
      <c r="E57" s="728"/>
      <c r="F57" s="27">
        <v>1</v>
      </c>
      <c r="G57" s="28"/>
      <c r="H57" s="849"/>
      <c r="I57" s="822"/>
      <c r="J57" s="824"/>
      <c r="K57" s="839"/>
      <c r="L57" s="840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3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1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3">
      <c r="A58" s="832" t="str">
        <f>IF(D58="","",INDEX($AB$10:$AB$41,D58))</f>
        <v>Staníček David</v>
      </c>
      <c r="B58" s="844" t="str">
        <f>IF(D58="","",INDEX($AC$10:$AC$41,D58))</f>
        <v>Krn.</v>
      </c>
      <c r="C58" s="846"/>
      <c r="D58" s="865">
        <f>IF($U$22=1,$D$22,IF($U$24=1,$D$24,IF($U$26=1,$D$26,"")))</f>
        <v>6</v>
      </c>
      <c r="E58" s="752" t="str">
        <f>CONCATENATE(D56)</f>
        <v>1</v>
      </c>
      <c r="F58" s="31">
        <v>5</v>
      </c>
      <c r="G58" s="32"/>
      <c r="H58" s="874">
        <f>IF($AA$3="x",(ABS(F58)),0)</f>
        <v>5</v>
      </c>
      <c r="I58" s="876">
        <f>IF($AA$3="x",(ABS(F59)),0)</f>
        <v>8</v>
      </c>
      <c r="J58" s="872">
        <f>ABS(G58)</f>
        <v>0</v>
      </c>
      <c r="K58" s="839">
        <f>IF(BK47=0,"",(IF(A58="","",(IF('Tabulka kvalifikace'!AC5="","",(IF(BA54=4,IF(BC60=0,(IF(A58="","",(IF(F58&gt;2,$BC$39,$BC$38)))),$BC$53),"")))))))</f>
        <v>1</v>
      </c>
      <c r="L58" s="840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7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5</v>
      </c>
      <c r="CE58" s="393">
        <f>(IF(CD58="",0,1))</f>
        <v>1</v>
      </c>
      <c r="DK58" s="581">
        <f>D58</f>
        <v>6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3">
      <c r="A59" s="871"/>
      <c r="B59" s="845"/>
      <c r="C59" s="847"/>
      <c r="D59" s="866"/>
      <c r="E59" s="763"/>
      <c r="F59" s="34">
        <v>8</v>
      </c>
      <c r="G59" s="35"/>
      <c r="H59" s="875"/>
      <c r="I59" s="877"/>
      <c r="J59" s="873"/>
      <c r="K59" s="842"/>
      <c r="L59" s="843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1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8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33</v>
      </c>
      <c r="EI59"/>
      <c r="EJ59" s="539">
        <f t="shared" si="23"/>
        <v>0</v>
      </c>
      <c r="EK59" s="539">
        <f t="shared" si="24"/>
        <v>0</v>
      </c>
      <c r="EL59"/>
      <c r="EM59"/>
      <c r="EO59"/>
    </row>
    <row r="60" spans="1:145" ht="14.25" customHeight="1" thickTop="1" x14ac:dyDescent="0.25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6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35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37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99</v>
      </c>
      <c r="EI62"/>
      <c r="EJ62" s="539" t="str">
        <f t="shared" si="23"/>
        <v/>
      </c>
      <c r="EK62" s="539" t="str">
        <f t="shared" si="24"/>
        <v/>
      </c>
      <c r="EL62"/>
      <c r="EM62"/>
      <c r="EO62"/>
    </row>
    <row r="63" spans="1:145" ht="14.25" customHeight="1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42" t="s">
        <v>51</v>
      </c>
      <c r="AK67" s="742"/>
      <c r="AL67" s="742"/>
      <c r="AM67" s="742"/>
      <c r="AN67" s="742"/>
      <c r="AO67" s="742"/>
      <c r="AP67" s="742"/>
      <c r="AQ67" s="742"/>
      <c r="AR67" s="742"/>
      <c r="AS67" s="742"/>
      <c r="AT67" s="742"/>
      <c r="AU67" s="742"/>
      <c r="AV67" s="742"/>
      <c r="AW67" s="742"/>
      <c r="AX67" s="742"/>
      <c r="AY67" s="742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05" t="s">
        <v>57</v>
      </c>
      <c r="GC74" s="805"/>
      <c r="GD74" s="805"/>
      <c r="GE74" s="805"/>
      <c r="GF74" s="805"/>
      <c r="GM74" s="644" t="s">
        <v>63</v>
      </c>
      <c r="GN74" s="643">
        <f>D36</f>
        <v>4</v>
      </c>
      <c r="GO74" s="643">
        <v>1</v>
      </c>
    </row>
    <row r="75" spans="1:197" hidden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798" t="str">
        <f t="shared" ref="GA75:GF75" si="30">GA88</f>
        <v>los</v>
      </c>
      <c r="GB75" s="798" t="str">
        <f t="shared" si="30"/>
        <v>body</v>
      </c>
      <c r="GC75" s="798" t="str">
        <f t="shared" si="30"/>
        <v>tech. body</v>
      </c>
      <c r="GD75" s="798" t="str">
        <f t="shared" si="30"/>
        <v>lopatky</v>
      </c>
      <c r="GE75" s="798" t="str">
        <f t="shared" si="30"/>
        <v>tech. přev.</v>
      </c>
      <c r="GF75" s="798" t="str">
        <f t="shared" si="30"/>
        <v>výh. na body</v>
      </c>
      <c r="GG75" s="798" t="s">
        <v>59</v>
      </c>
      <c r="GM75" s="644" t="s">
        <v>63</v>
      </c>
      <c r="GN75" s="643">
        <f>D38</f>
        <v>5</v>
      </c>
      <c r="GO75" s="643">
        <v>1</v>
      </c>
    </row>
    <row r="76" spans="1:197" hidden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798"/>
      <c r="GB76" s="798"/>
      <c r="GC76" s="798"/>
      <c r="GD76" s="798"/>
      <c r="GE76" s="798"/>
      <c r="GF76" s="798"/>
      <c r="GG76" s="798"/>
      <c r="GM76" s="644" t="s">
        <v>62</v>
      </c>
      <c r="GN76" s="643">
        <f>D46</f>
        <v>3</v>
      </c>
      <c r="GO76" s="643">
        <v>2</v>
      </c>
    </row>
    <row r="77" spans="1:197" hidden="1" x14ac:dyDescent="0.25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798"/>
      <c r="GB77" s="798"/>
      <c r="GC77" s="798"/>
      <c r="GD77" s="798"/>
      <c r="GE77" s="798"/>
      <c r="GF77" s="798"/>
      <c r="GG77" s="798"/>
      <c r="GM77" s="644" t="s">
        <v>62</v>
      </c>
      <c r="GN77" s="643">
        <f>D48</f>
        <v>7</v>
      </c>
      <c r="GO77" s="643">
        <v>2</v>
      </c>
    </row>
    <row r="78" spans="1:197" hidden="1" x14ac:dyDescent="0.25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5" t="s">
        <v>53</v>
      </c>
      <c r="AO78" s="685"/>
      <c r="AP78" s="685"/>
      <c r="AQ78" s="685"/>
      <c r="AR78" s="495"/>
      <c r="AS78" s="495"/>
      <c r="AT78" s="495"/>
      <c r="AU78" s="685" t="s">
        <v>54</v>
      </c>
      <c r="AV78" s="685"/>
      <c r="AW78" s="685"/>
      <c r="AX78" s="685"/>
      <c r="AY78" s="685"/>
      <c r="AZ78" s="685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33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798"/>
      <c r="GB78" s="798"/>
      <c r="GC78" s="798"/>
      <c r="GD78" s="798"/>
      <c r="GE78" s="798"/>
      <c r="GF78" s="798"/>
      <c r="GG78" s="798"/>
      <c r="GM78" s="644" t="s">
        <v>61</v>
      </c>
      <c r="GN78" s="643">
        <f>D56</f>
        <v>1</v>
      </c>
      <c r="GO78" s="643">
        <v>4</v>
      </c>
    </row>
    <row r="79" spans="1:197" hidden="1" x14ac:dyDescent="0.25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35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798"/>
      <c r="GB79" s="798"/>
      <c r="GC79" s="798"/>
      <c r="GD79" s="798"/>
      <c r="GE79" s="798"/>
      <c r="GF79" s="798"/>
      <c r="GG79" s="798"/>
      <c r="GM79" s="644" t="s">
        <v>61</v>
      </c>
      <c r="GN79" s="643">
        <f>D58</f>
        <v>6</v>
      </c>
      <c r="GO79" s="643">
        <v>4</v>
      </c>
    </row>
    <row r="80" spans="1:197" hidden="1" x14ac:dyDescent="0.25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37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5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3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999</v>
      </c>
      <c r="BI81" s="498"/>
      <c r="BJ81" s="498"/>
      <c r="BK81" s="548" t="str">
        <f t="shared" si="28"/>
        <v/>
      </c>
      <c r="BL81" s="548" t="str">
        <f t="shared" si="29"/>
        <v/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3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5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4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4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5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5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5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5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6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6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78" t="s">
        <v>70</v>
      </c>
      <c r="HT84" s="678"/>
    </row>
    <row r="85" spans="4:342" hidden="1" x14ac:dyDescent="0.25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7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7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78" t="s">
        <v>71</v>
      </c>
      <c r="HT85" s="678"/>
    </row>
    <row r="86" spans="4:342" hidden="1" x14ac:dyDescent="0.25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5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5" t="s">
        <v>55</v>
      </c>
      <c r="AZ87" s="685"/>
      <c r="BA87" s="685"/>
      <c r="BB87" s="685"/>
      <c r="BC87" s="685"/>
      <c r="BD87" s="685"/>
      <c r="BE87" s="685"/>
      <c r="BF87" s="685"/>
      <c r="BG87" s="685"/>
      <c r="BH87" s="685"/>
      <c r="BI87" s="685"/>
      <c r="BJ87" s="685"/>
      <c r="BK87" s="685"/>
      <c r="BL87" s="685"/>
      <c r="BM87" s="685"/>
      <c r="BN87" s="685"/>
      <c r="BO87" s="685"/>
      <c r="BP87" s="685"/>
      <c r="BQ87" s="685"/>
      <c r="BR87" s="685"/>
      <c r="BS87" s="685"/>
      <c r="BT87" s="685"/>
      <c r="BU87" s="685"/>
      <c r="BV87" s="685"/>
      <c r="BW87" s="685"/>
      <c r="BX87" s="685"/>
      <c r="BY87" s="685"/>
      <c r="BZ87" s="685"/>
      <c r="CA87" s="685"/>
      <c r="CB87" s="685"/>
      <c r="CC87" s="685"/>
      <c r="CD87" s="685"/>
      <c r="CE87" s="685"/>
      <c r="CF87" s="685"/>
      <c r="CG87" s="685"/>
      <c r="CH87" s="685"/>
      <c r="CI87" s="685"/>
      <c r="CJ87" s="685"/>
      <c r="CK87" s="685"/>
      <c r="CL87" s="685"/>
      <c r="CM87" s="685"/>
      <c r="CN87" s="685"/>
      <c r="CO87" s="685"/>
      <c r="CP87" s="685"/>
      <c r="CQ87" s="685"/>
      <c r="CR87" s="685"/>
      <c r="CS87" s="685"/>
      <c r="CT87" s="685"/>
      <c r="CU87" s="685"/>
      <c r="CV87" s="685"/>
      <c r="CW87" s="685"/>
      <c r="CX87" s="685"/>
      <c r="CY87" s="685"/>
      <c r="CZ87" s="685"/>
      <c r="DA87" s="685"/>
      <c r="DB87" s="685"/>
      <c r="DC87" s="685"/>
      <c r="DD87" s="685"/>
      <c r="DE87" s="685"/>
      <c r="DF87" s="685"/>
      <c r="DG87" s="685"/>
      <c r="DH87" s="685"/>
      <c r="DI87" s="685"/>
      <c r="DJ87" s="685"/>
      <c r="DK87" s="685"/>
      <c r="DL87" s="685"/>
      <c r="DM87" s="685"/>
      <c r="DN87" s="685"/>
      <c r="DO87" s="685"/>
      <c r="DP87" s="685"/>
      <c r="DQ87" s="685"/>
      <c r="DR87" s="685"/>
      <c r="DS87" s="685"/>
      <c r="DT87" s="685"/>
      <c r="DU87" s="685"/>
      <c r="DV87" s="685"/>
      <c r="DW87" s="685"/>
      <c r="DX87" s="685"/>
      <c r="DY87" s="685"/>
      <c r="DZ87" s="685"/>
      <c r="EA87" s="685"/>
      <c r="EB87" s="685"/>
      <c r="EC87" s="685"/>
      <c r="ED87" s="685"/>
      <c r="EE87" s="685"/>
      <c r="EF87" s="685"/>
      <c r="EG87" s="685"/>
      <c r="EH87" s="685"/>
      <c r="EI87" s="685"/>
      <c r="EJ87" s="685"/>
      <c r="EK87" s="685"/>
      <c r="EL87" s="685"/>
      <c r="EM87" s="685"/>
      <c r="EN87" s="685"/>
      <c r="EO87" s="685"/>
      <c r="EP87" s="685"/>
      <c r="EQ87" s="685"/>
      <c r="ER87" s="685"/>
      <c r="ES87" s="685"/>
      <c r="ET87" s="685"/>
      <c r="EU87" s="685"/>
      <c r="EV87" s="685"/>
      <c r="EW87" s="685"/>
      <c r="EX87" s="685"/>
      <c r="EY87" s="685"/>
      <c r="EZ87" s="685"/>
      <c r="FA87" s="685"/>
      <c r="FB87" s="685"/>
      <c r="FC87" s="685"/>
      <c r="FD87" s="685"/>
      <c r="FE87" s="685"/>
      <c r="FF87" s="685"/>
      <c r="FG87" s="685"/>
      <c r="FH87" s="685"/>
      <c r="FI87" s="685"/>
      <c r="FJ87" s="685"/>
      <c r="FK87" s="685"/>
      <c r="FL87" s="685"/>
      <c r="FM87" s="685"/>
      <c r="FN87" s="685"/>
      <c r="FO87" s="685"/>
      <c r="FP87" s="685"/>
      <c r="FQ87" s="685"/>
      <c r="FR87" s="685"/>
      <c r="FS87" s="685"/>
      <c r="FT87" s="685"/>
      <c r="FU87" s="685"/>
      <c r="FV87" s="685"/>
      <c r="FW87" s="685"/>
      <c r="FX87" s="685"/>
      <c r="FY87" s="685"/>
      <c r="FZ87" s="685"/>
      <c r="GA87" s="685"/>
      <c r="GB87" s="685"/>
      <c r="GC87" s="685"/>
      <c r="GD87" s="685"/>
      <c r="GE87" s="685"/>
      <c r="GF87" s="685"/>
      <c r="GG87" s="685"/>
      <c r="GI87" s="805" t="s">
        <v>56</v>
      </c>
      <c r="GJ87" s="805"/>
      <c r="GK87" s="805"/>
      <c r="GL87" s="805"/>
      <c r="GM87" s="805"/>
      <c r="GN87" s="805"/>
      <c r="GO87" s="805"/>
      <c r="GR87" s="685" t="s">
        <v>58</v>
      </c>
      <c r="GS87" s="685"/>
      <c r="GT87" s="685"/>
      <c r="GU87" s="685"/>
      <c r="GV87" s="685"/>
      <c r="GW87" s="685"/>
      <c r="GX87" s="685"/>
      <c r="GY87" s="685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5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798" t="str">
        <f>'Tabulka kvalifikace'!DJ77</f>
        <v>los</v>
      </c>
      <c r="GB88" s="798" t="str">
        <f>'Tabulka kvalifikace'!DL77</f>
        <v>body</v>
      </c>
      <c r="GC88" s="798" t="str">
        <f>'Tabulka kvalifikace'!DM77</f>
        <v>tech. body</v>
      </c>
      <c r="GD88" s="798" t="str">
        <f>'Tabulka kvalifikace'!DS77</f>
        <v>lopatky</v>
      </c>
      <c r="GE88" s="798" t="str">
        <f>'Tabulka kvalifikace'!DT77</f>
        <v>tech. přev.</v>
      </c>
      <c r="GF88" s="798" t="str">
        <f>GY88</f>
        <v>výh. na body</v>
      </c>
      <c r="GG88" s="798" t="str">
        <f>'Tabulka kvalifikace'!DV75</f>
        <v>doplněk proher</v>
      </c>
      <c r="GH88" s="798" t="str">
        <f>'Tabulka kvalifikace'!DW74</f>
        <v>dvě a vice proher</v>
      </c>
      <c r="GI88" s="803" t="s">
        <v>1</v>
      </c>
      <c r="GJ88" s="806" t="str">
        <f>GI88</f>
        <v>finále</v>
      </c>
      <c r="GK88" s="804" t="str">
        <f t="shared" ref="GK88:GP88" si="40">GB75</f>
        <v>body</v>
      </c>
      <c r="GL88" s="798" t="str">
        <f t="shared" si="40"/>
        <v>tech. body</v>
      </c>
      <c r="GM88" s="798" t="str">
        <f t="shared" si="40"/>
        <v>lopatky</v>
      </c>
      <c r="GN88" s="798" t="str">
        <f t="shared" si="40"/>
        <v>tech. přev.</v>
      </c>
      <c r="GO88" s="798" t="str">
        <f t="shared" si="40"/>
        <v>výh. na body</v>
      </c>
      <c r="GP88" s="803" t="str">
        <f t="shared" si="40"/>
        <v>prohra</v>
      </c>
      <c r="GQ88" s="806" t="str">
        <f>GJ88</f>
        <v>finále</v>
      </c>
      <c r="GR88" s="639"/>
      <c r="GS88" s="640"/>
      <c r="GT88" s="807" t="str">
        <f>GA88</f>
        <v>los</v>
      </c>
      <c r="GU88" s="807" t="str">
        <f>GK88</f>
        <v>body</v>
      </c>
      <c r="GV88" s="807" t="str">
        <f>GL88</f>
        <v>tech. body</v>
      </c>
      <c r="GW88" s="807" t="str">
        <f>GM88</f>
        <v>lopatky</v>
      </c>
      <c r="GX88" s="807" t="str">
        <f>GN88</f>
        <v>tech. přev.</v>
      </c>
      <c r="GY88" s="807" t="s">
        <v>64</v>
      </c>
      <c r="GZ88" s="807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05" t="s">
        <v>66</v>
      </c>
      <c r="HX88" s="805"/>
      <c r="HY88" s="805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798">
        <f>'Tabulka kvalifikace'!JA77</f>
        <v>0</v>
      </c>
      <c r="LY88" s="798">
        <f>'Tabulka kvalifikace'!JC77</f>
        <v>0</v>
      </c>
      <c r="LZ88" s="798">
        <f>'Tabulka kvalifikace'!JD77</f>
        <v>0</v>
      </c>
      <c r="MA88" s="798">
        <f>'Tabulka kvalifikace'!JJ77</f>
        <v>0</v>
      </c>
      <c r="MB88" s="798">
        <f>'Tabulka kvalifikace'!JK77</f>
        <v>0</v>
      </c>
      <c r="MC88" s="798">
        <f>'Tabulka kvalifikace'!JL77</f>
        <v>0</v>
      </c>
      <c r="MD88" s="798">
        <f>'Tabulka kvalifikace'!JM75</f>
        <v>23</v>
      </c>
    </row>
    <row r="89" spans="4:342" hidden="1" x14ac:dyDescent="0.25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798"/>
      <c r="GB89" s="798"/>
      <c r="GC89" s="798"/>
      <c r="GD89" s="798"/>
      <c r="GE89" s="798"/>
      <c r="GF89" s="798"/>
      <c r="GG89" s="798"/>
      <c r="GH89" s="798"/>
      <c r="GI89" s="803"/>
      <c r="GJ89" s="806"/>
      <c r="GK89" s="804"/>
      <c r="GL89" s="798"/>
      <c r="GM89" s="798"/>
      <c r="GN89" s="798"/>
      <c r="GO89" s="798"/>
      <c r="GP89" s="803"/>
      <c r="GQ89" s="806"/>
      <c r="GR89" s="639"/>
      <c r="GS89" s="640"/>
      <c r="GT89" s="807"/>
      <c r="GU89" s="807"/>
      <c r="GV89" s="807"/>
      <c r="GW89" s="807"/>
      <c r="GX89" s="807"/>
      <c r="GY89" s="807"/>
      <c r="GZ89" s="807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798"/>
      <c r="LY89" s="798"/>
      <c r="LZ89" s="798"/>
      <c r="MA89" s="798"/>
      <c r="MB89" s="798"/>
      <c r="MC89" s="798"/>
      <c r="MD89" s="798"/>
    </row>
    <row r="90" spans="4:342" hidden="1" x14ac:dyDescent="0.25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798"/>
      <c r="GB90" s="798"/>
      <c r="GC90" s="798"/>
      <c r="GD90" s="798"/>
      <c r="GE90" s="798"/>
      <c r="GF90" s="798"/>
      <c r="GG90" s="798"/>
      <c r="GH90" s="798"/>
      <c r="GI90" s="803"/>
      <c r="GJ90" s="806"/>
      <c r="GK90" s="804"/>
      <c r="GL90" s="798"/>
      <c r="GM90" s="798"/>
      <c r="GN90" s="798"/>
      <c r="GO90" s="798"/>
      <c r="GP90" s="803"/>
      <c r="GQ90" s="806"/>
      <c r="GR90" s="639"/>
      <c r="GS90" s="640"/>
      <c r="GT90" s="807"/>
      <c r="GU90" s="807"/>
      <c r="GV90" s="807"/>
      <c r="GW90" s="807"/>
      <c r="GX90" s="807"/>
      <c r="GY90" s="807"/>
      <c r="GZ90" s="807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798"/>
      <c r="LY90" s="798"/>
      <c r="LZ90" s="798"/>
      <c r="MA90" s="798"/>
      <c r="MB90" s="798"/>
      <c r="MC90" s="798"/>
      <c r="MD90" s="798"/>
    </row>
    <row r="91" spans="4:342" hidden="1" x14ac:dyDescent="0.25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798"/>
      <c r="GB91" s="798"/>
      <c r="GC91" s="798"/>
      <c r="GD91" s="798"/>
      <c r="GE91" s="798"/>
      <c r="GF91" s="798"/>
      <c r="GG91" s="798"/>
      <c r="GH91" s="798"/>
      <c r="GI91" s="803"/>
      <c r="GJ91" s="806"/>
      <c r="GK91" s="804"/>
      <c r="GL91" s="798"/>
      <c r="GM91" s="798"/>
      <c r="GN91" s="798"/>
      <c r="GO91" s="798"/>
      <c r="GP91" s="803"/>
      <c r="GQ91" s="806"/>
      <c r="GR91" s="360"/>
      <c r="GS91" s="55"/>
      <c r="GT91" s="807"/>
      <c r="GU91" s="807"/>
      <c r="GV91" s="807"/>
      <c r="GW91" s="807"/>
      <c r="GX91" s="807"/>
      <c r="GY91" s="807"/>
      <c r="GZ91" s="807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42" t="s">
        <v>65</v>
      </c>
      <c r="HT91" s="742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798"/>
      <c r="LY91" s="798"/>
      <c r="LZ91" s="798"/>
      <c r="MA91" s="798"/>
      <c r="MB91" s="798"/>
      <c r="MC91" s="798"/>
      <c r="MD91" s="798"/>
    </row>
    <row r="92" spans="4:342" hidden="1" x14ac:dyDescent="0.25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798"/>
      <c r="GB92" s="798"/>
      <c r="GC92" s="798"/>
      <c r="GD92" s="798"/>
      <c r="GE92" s="798"/>
      <c r="GF92" s="798"/>
      <c r="GG92" s="798"/>
      <c r="GH92" s="798"/>
      <c r="GI92" s="803"/>
      <c r="GJ92" s="806"/>
      <c r="GK92" s="804"/>
      <c r="GL92" s="798"/>
      <c r="GM92" s="798"/>
      <c r="GN92" s="798"/>
      <c r="GO92" s="798"/>
      <c r="GP92" s="803"/>
      <c r="GQ92" s="806"/>
      <c r="GR92" s="639"/>
      <c r="GS92" s="640">
        <f>AZ92</f>
        <v>999</v>
      </c>
      <c r="GT92" s="807"/>
      <c r="GU92" s="807"/>
      <c r="GV92" s="807"/>
      <c r="GW92" s="807"/>
      <c r="GX92" s="807"/>
      <c r="GY92" s="807"/>
      <c r="GZ92" s="807"/>
      <c r="HA92" s="791" t="s">
        <v>6</v>
      </c>
      <c r="HB92" s="791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33</v>
      </c>
      <c r="KG92" s="633">
        <f>IF(KE92=99,"",(INDEX($DN$55:$DN$124,KE92)))</f>
        <v>0</v>
      </c>
      <c r="KH92" s="633">
        <f>IF(KE92=99,"",(INDEX($ED$55:$ED$124,KE92)))</f>
        <v>0</v>
      </c>
      <c r="LX92" s="798"/>
      <c r="LY92" s="798"/>
      <c r="LZ92" s="798"/>
      <c r="MA92" s="798"/>
      <c r="MB92" s="798"/>
      <c r="MC92" s="798"/>
      <c r="MD92" s="798"/>
    </row>
    <row r="93" spans="4:342" hidden="1" x14ac:dyDescent="0.25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5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11</v>
      </c>
      <c r="GC93" s="633">
        <f>'Tabulka kvalifikace'!DM81</f>
        <v>8</v>
      </c>
      <c r="GD93" s="633">
        <f>'Tabulka kvalifikace'!DS81</f>
        <v>2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6</v>
      </c>
      <c r="GH93" s="633">
        <f>'Tabulka kvalifikace'!DW81</f>
        <v>0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40000000000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11</v>
      </c>
      <c r="GV93" s="633">
        <f>GC93+GL93</f>
        <v>8</v>
      </c>
      <c r="GW93" s="633">
        <f>GD93+GM93</f>
        <v>2</v>
      </c>
      <c r="GX93" s="633">
        <f>GE93+GN93</f>
        <v>0</v>
      </c>
      <c r="GY93" s="633">
        <f>GF93+GO93</f>
        <v>0</v>
      </c>
      <c r="GZ93" s="633">
        <f>GH93+GP93</f>
        <v>0</v>
      </c>
      <c r="HA93" s="802">
        <f>(IF(GS93=$AZ$92,$HA$88,(((((((((400)+GU93)*10+GG93)*100+GV93)*10+GW93)*10+GX93)*10)+GY93)*100+GT93)))+GQ93</f>
        <v>81160820001</v>
      </c>
      <c r="HB93" s="678"/>
      <c r="HC93" s="633">
        <f>LEN(HE93)</f>
        <v>11</v>
      </c>
      <c r="HE93">
        <f>LARGE($HA$93:$HB$124,GR93)</f>
        <v>81160820001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1</v>
      </c>
      <c r="HI93" s="633">
        <v>1</v>
      </c>
      <c r="HJ93" s="643"/>
      <c r="HK93" s="643"/>
      <c r="HL93" s="643"/>
      <c r="HM93">
        <f>IF(HH93="",$HM$90*2,($HM$90+HH93*100+HI93))</f>
        <v>10101</v>
      </c>
      <c r="HN93">
        <f>SMALL($HM$93:$HM$124,HI93)</f>
        <v>10101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1</v>
      </c>
      <c r="HS93" s="643" t="s">
        <v>61</v>
      </c>
      <c r="HT93" s="643">
        <f>D56</f>
        <v>1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5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0</v>
      </c>
      <c r="GC94" s="633">
        <f>'Tabulka kvalifikace'!DM82</f>
        <v>0</v>
      </c>
      <c r="GD94" s="633">
        <f>'Tabulka kvalifikace'!DS82</f>
        <v>0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5</v>
      </c>
      <c r="GH94" s="633">
        <f>'Tabulka kvalifikace'!DW82</f>
        <v>1</v>
      </c>
      <c r="GI94" s="647" t="str">
        <f>'Tabulka kvalifikace'!DR82</f>
        <v/>
      </c>
      <c r="GJ94" s="178">
        <f t="shared" ref="GJ94:GJ124" si="45">IF(GI94="",0,($HA$88))</f>
        <v>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0</v>
      </c>
      <c r="GV94" s="633">
        <f t="shared" ref="GV94:GV124" si="57">GC94+GL94</f>
        <v>0</v>
      </c>
      <c r="GW94" s="633">
        <f t="shared" ref="GW94:GW124" si="58">GD94+GM94</f>
        <v>0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1</v>
      </c>
      <c r="HA94" s="802">
        <f t="shared" ref="HA94:HA124" si="62">(IF(GS94=$AZ$92,$HA$88,(((((((((400)+GU94)*10+GG94)*100+GV94)*10+GW94)*10+GX94)*10)+GY94)*100+GT94)))+GQ94</f>
        <v>40050000002</v>
      </c>
      <c r="HB94" s="678"/>
      <c r="HC94" s="633">
        <f t="shared" ref="HC94:HC124" si="63">LEN(HA94)</f>
        <v>11</v>
      </c>
      <c r="HE94">
        <f t="shared" ref="HE94:HE124" si="64">LARGE($HA$93:$HB$124,GR94)</f>
        <v>81071210006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6</v>
      </c>
      <c r="HI94" s="633">
        <f>HI93+1</f>
        <v>2</v>
      </c>
      <c r="HJ94" s="643"/>
      <c r="HK94" s="643"/>
      <c r="HL94" s="643"/>
      <c r="HM94">
        <f>IF(HH94="",$HM$90*2,($HM$90+HH94*100+HI94))</f>
        <v>10602</v>
      </c>
      <c r="HN94">
        <f t="shared" ref="HN94:HN124" si="68">SMALL($HM$93:$HM$124,HI94)</f>
        <v>10207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7</v>
      </c>
      <c r="HS94" s="643" t="s">
        <v>61</v>
      </c>
      <c r="HT94" s="643">
        <f>D58</f>
        <v>6</v>
      </c>
      <c r="HU94" s="643">
        <f t="shared" si="43"/>
        <v>2</v>
      </c>
      <c r="IA94" s="643">
        <f>HU94</f>
        <v>2</v>
      </c>
    </row>
    <row r="95" spans="4:342" hidden="1" x14ac:dyDescent="0.25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6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5</v>
      </c>
      <c r="GC95" s="633">
        <f>'Tabulka kvalifikace'!DM83</f>
        <v>14</v>
      </c>
      <c r="GD95" s="633">
        <f>'Tabulka kvalifikace'!DS83</f>
        <v>1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6</v>
      </c>
      <c r="GH95" s="633">
        <f>'Tabulka kvalifikace'!DW83</f>
        <v>0</v>
      </c>
      <c r="GI95" s="647" t="str">
        <f>'Tabulka kvalifikace'!DR83</f>
        <v>F</v>
      </c>
      <c r="GJ95" s="178">
        <f t="shared" si="45"/>
        <v>10000000000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20000000000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5</v>
      </c>
      <c r="GV95" s="633">
        <f t="shared" si="57"/>
        <v>14</v>
      </c>
      <c r="GW95" s="633">
        <f t="shared" si="58"/>
        <v>1</v>
      </c>
      <c r="GX95" s="633">
        <f t="shared" si="59"/>
        <v>0</v>
      </c>
      <c r="GY95" s="633">
        <f t="shared" si="60"/>
        <v>0</v>
      </c>
      <c r="GZ95" s="633">
        <f t="shared" si="61"/>
        <v>0</v>
      </c>
      <c r="HA95" s="802">
        <f t="shared" si="62"/>
        <v>60561410003</v>
      </c>
      <c r="HB95" s="678"/>
      <c r="HC95" s="633">
        <f t="shared" si="63"/>
        <v>11</v>
      </c>
      <c r="HE95">
        <f t="shared" si="64"/>
        <v>60561410003</v>
      </c>
      <c r="HF95" s="633">
        <f t="shared" si="65"/>
        <v>11</v>
      </c>
      <c r="HG95" s="633">
        <f t="shared" si="66"/>
        <v>6</v>
      </c>
      <c r="HH95" s="633">
        <f t="shared" si="67"/>
        <v>3</v>
      </c>
      <c r="HI95" s="643">
        <f t="shared" ref="HI95:HI124" si="73">HI94+1</f>
        <v>3</v>
      </c>
      <c r="HJ95" s="643">
        <f>VALUE(MID(HE95,1,HF95-2))</f>
        <v>605614100</v>
      </c>
      <c r="HK95" s="643">
        <v>3</v>
      </c>
      <c r="HL95" s="643"/>
      <c r="HM95">
        <f>IF(HH95="",$HM$90*2,($HM$90+HH95*100+HK95))</f>
        <v>10303</v>
      </c>
      <c r="HN95">
        <f t="shared" si="68"/>
        <v>10303</v>
      </c>
      <c r="HO95" s="643">
        <f t="shared" si="69"/>
        <v>5</v>
      </c>
      <c r="HP95" s="646">
        <f t="shared" si="70"/>
        <v>3</v>
      </c>
      <c r="HQ95" s="646">
        <f t="shared" si="71"/>
        <v>3</v>
      </c>
      <c r="HS95" s="643" t="s">
        <v>62</v>
      </c>
      <c r="HT95" s="643">
        <f>D46</f>
        <v>3</v>
      </c>
      <c r="HU95" s="643">
        <f t="shared" si="43"/>
        <v>3</v>
      </c>
      <c r="HW95" s="643">
        <f>HU95</f>
        <v>3</v>
      </c>
      <c r="IA95" s="643"/>
    </row>
    <row r="96" spans="4:342" hidden="1" x14ac:dyDescent="0.25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8</v>
      </c>
      <c r="GC96" s="633">
        <f>'Tabulka kvalifikace'!DM84</f>
        <v>24</v>
      </c>
      <c r="GD96" s="633">
        <f>'Tabulka kvalifikace'!DS84</f>
        <v>1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6</v>
      </c>
      <c r="GH96" s="633">
        <f>'Tabulka kvalifikace'!DW84</f>
        <v>0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10000000000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8</v>
      </c>
      <c r="GV96" s="633">
        <f t="shared" si="57"/>
        <v>24</v>
      </c>
      <c r="GW96" s="633">
        <f t="shared" si="58"/>
        <v>1</v>
      </c>
      <c r="GX96" s="633">
        <f t="shared" si="59"/>
        <v>0</v>
      </c>
      <c r="GY96" s="633">
        <f t="shared" si="60"/>
        <v>0</v>
      </c>
      <c r="GZ96" s="633">
        <f t="shared" si="61"/>
        <v>0</v>
      </c>
      <c r="HA96" s="802">
        <f t="shared" si="62"/>
        <v>50862410004</v>
      </c>
      <c r="HB96" s="678"/>
      <c r="HC96" s="633">
        <f t="shared" si="63"/>
        <v>11</v>
      </c>
      <c r="HE96">
        <f t="shared" si="64"/>
        <v>60560410007</v>
      </c>
      <c r="HF96" s="633">
        <f t="shared" si="65"/>
        <v>11</v>
      </c>
      <c r="HG96" s="633">
        <f t="shared" si="66"/>
        <v>6</v>
      </c>
      <c r="HH96" s="633">
        <f t="shared" si="67"/>
        <v>7</v>
      </c>
      <c r="HI96" s="643">
        <f t="shared" si="73"/>
        <v>4</v>
      </c>
      <c r="HJ96" s="643">
        <f>VALUE(MID(HE96,1,HF96-2))</f>
        <v>605604100</v>
      </c>
      <c r="HK96" s="643">
        <f>IF(HJ95=HJ96,HK95,HK95+1)</f>
        <v>4</v>
      </c>
      <c r="HL96" s="643"/>
      <c r="HM96">
        <f>IF(HH96="",$HM$90*2,($HM$90+HH96*100+HK96))</f>
        <v>10704</v>
      </c>
      <c r="HN96">
        <f t="shared" si="68"/>
        <v>10405</v>
      </c>
      <c r="HO96" s="643">
        <f t="shared" si="69"/>
        <v>5</v>
      </c>
      <c r="HP96" s="646">
        <f t="shared" si="70"/>
        <v>4</v>
      </c>
      <c r="HQ96" s="646">
        <f t="shared" si="71"/>
        <v>5</v>
      </c>
      <c r="HS96" s="643" t="s">
        <v>62</v>
      </c>
      <c r="HT96" s="643">
        <f>D48</f>
        <v>7</v>
      </c>
      <c r="HU96" s="643">
        <f t="shared" si="43"/>
        <v>4</v>
      </c>
      <c r="HW96" s="643">
        <f>HU96</f>
        <v>4</v>
      </c>
      <c r="IA96" s="643"/>
    </row>
    <row r="97" spans="51:235" hidden="1" x14ac:dyDescent="0.25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7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02">
        <f t="shared" si="62"/>
        <v>10000000000</v>
      </c>
      <c r="HB97" s="678"/>
      <c r="HC97" s="633">
        <f t="shared" si="63"/>
        <v>11</v>
      </c>
      <c r="HE97">
        <f t="shared" si="64"/>
        <v>50862410004</v>
      </c>
      <c r="HF97" s="633">
        <f t="shared" si="65"/>
        <v>11</v>
      </c>
      <c r="HG97" s="633">
        <f t="shared" si="66"/>
        <v>5</v>
      </c>
      <c r="HH97" s="633">
        <f t="shared" si="67"/>
        <v>4</v>
      </c>
      <c r="HI97" s="643">
        <f t="shared" si="73"/>
        <v>5</v>
      </c>
      <c r="HJ97" s="643">
        <f>VALUE(MID(HE97,1,HF97-2))</f>
        <v>508624100</v>
      </c>
      <c r="HK97" s="643">
        <v>5</v>
      </c>
      <c r="HL97" s="643"/>
      <c r="HM97">
        <f>IF(HH97="",$HM$90*2,($HM$90+HH97*100+HK97))</f>
        <v>10405</v>
      </c>
      <c r="HN97">
        <f t="shared" si="68"/>
        <v>10506</v>
      </c>
      <c r="HO97" s="643">
        <f t="shared" si="69"/>
        <v>5</v>
      </c>
      <c r="HP97" s="646">
        <f t="shared" si="70"/>
        <v>5</v>
      </c>
      <c r="HQ97" s="646">
        <f t="shared" si="71"/>
        <v>6</v>
      </c>
      <c r="HS97" s="643" t="s">
        <v>63</v>
      </c>
      <c r="HT97" s="643">
        <f>D36</f>
        <v>4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5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02">
        <f t="shared" si="62"/>
        <v>10000000000</v>
      </c>
      <c r="HB98" s="678"/>
      <c r="HC98" s="633">
        <f t="shared" si="63"/>
        <v>11</v>
      </c>
      <c r="HE98">
        <f t="shared" si="64"/>
        <v>50050000005</v>
      </c>
      <c r="HF98" s="633">
        <f t="shared" si="65"/>
        <v>11</v>
      </c>
      <c r="HG98" s="633">
        <f t="shared" si="66"/>
        <v>5</v>
      </c>
      <c r="HH98" s="633">
        <f t="shared" si="67"/>
        <v>5</v>
      </c>
      <c r="HI98" s="643">
        <f t="shared" si="73"/>
        <v>6</v>
      </c>
      <c r="HJ98" s="643">
        <f>VALUE(MID(HE98,1,HF98-2))</f>
        <v>500500000</v>
      </c>
      <c r="HK98" s="643">
        <v>6</v>
      </c>
      <c r="HL98" s="643"/>
      <c r="HM98">
        <f>IF(HH98="",$HM$90*2,($HM$90+HH98*100+HK98))</f>
        <v>10506</v>
      </c>
      <c r="HN98">
        <f t="shared" si="68"/>
        <v>10602</v>
      </c>
      <c r="HO98" s="643">
        <f t="shared" si="69"/>
        <v>5</v>
      </c>
      <c r="HP98" s="646">
        <f t="shared" si="70"/>
        <v>6</v>
      </c>
      <c r="HQ98" s="646">
        <f t="shared" si="71"/>
        <v>2</v>
      </c>
      <c r="HS98" s="643" t="s">
        <v>63</v>
      </c>
      <c r="HT98" s="643">
        <f>D38</f>
        <v>5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5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 t="str">
        <f>'Tabulka kvalifikace'!D46</f>
        <v/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99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02">
        <f t="shared" si="62"/>
        <v>10000000000</v>
      </c>
      <c r="HB99" s="678"/>
      <c r="HC99" s="633">
        <f t="shared" si="63"/>
        <v>11</v>
      </c>
      <c r="HE99">
        <f t="shared" si="64"/>
        <v>40050000002</v>
      </c>
      <c r="HF99" s="633">
        <f t="shared" si="65"/>
        <v>11</v>
      </c>
      <c r="HG99" s="633">
        <f t="shared" si="66"/>
        <v>4</v>
      </c>
      <c r="HH99" s="633">
        <f t="shared" si="67"/>
        <v>2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10207</v>
      </c>
      <c r="HN99">
        <f t="shared" si="68"/>
        <v>10704</v>
      </c>
      <c r="HO99" s="643">
        <f t="shared" si="69"/>
        <v>5</v>
      </c>
      <c r="HP99" s="646">
        <f t="shared" si="70"/>
        <v>7</v>
      </c>
      <c r="HQ99" s="646">
        <f t="shared" si="71"/>
        <v>4</v>
      </c>
      <c r="HU99" s="643"/>
    </row>
    <row r="100" spans="51:235" hidden="1" x14ac:dyDescent="0.25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02">
        <f t="shared" si="62"/>
        <v>10000000000</v>
      </c>
      <c r="HB100" s="678"/>
      <c r="HC100" s="633">
        <f t="shared" si="63"/>
        <v>11</v>
      </c>
      <c r="HE100">
        <f t="shared" si="64"/>
        <v>10000000000</v>
      </c>
      <c r="HF100" s="633">
        <f t="shared" si="65"/>
        <v>11</v>
      </c>
      <c r="HG100" s="633">
        <f t="shared" si="66"/>
        <v>1</v>
      </c>
      <c r="HH100" s="633" t="str">
        <f t="shared" si="67"/>
        <v/>
      </c>
      <c r="HI100" s="643">
        <f t="shared" si="73"/>
        <v>8</v>
      </c>
      <c r="HJ100" s="643"/>
      <c r="HK100" s="643"/>
      <c r="HL100" s="643"/>
      <c r="HM100">
        <f t="shared" si="74"/>
        <v>20000</v>
      </c>
      <c r="HN100">
        <f t="shared" si="68"/>
        <v>20000</v>
      </c>
      <c r="HO100" s="643">
        <f t="shared" si="69"/>
        <v>5</v>
      </c>
      <c r="HP100" s="646" t="str">
        <f t="shared" si="70"/>
        <v/>
      </c>
      <c r="HQ100" s="646" t="str">
        <f t="shared" si="71"/>
        <v/>
      </c>
      <c r="HU100" s="643"/>
    </row>
    <row r="101" spans="51:235" hidden="1" x14ac:dyDescent="0.25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02">
        <f t="shared" si="62"/>
        <v>10000000000</v>
      </c>
      <c r="HB101" s="678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5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02">
        <f t="shared" si="62"/>
        <v>10000000000</v>
      </c>
      <c r="HB102" s="678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5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02">
        <f t="shared" si="62"/>
        <v>10000000000</v>
      </c>
      <c r="HB103" s="678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5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02">
        <f t="shared" si="62"/>
        <v>10000000000</v>
      </c>
      <c r="HB104" s="678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5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02">
        <f t="shared" si="62"/>
        <v>10000000000</v>
      </c>
      <c r="HB105" s="678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5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02">
        <f t="shared" si="62"/>
        <v>10000000000</v>
      </c>
      <c r="HB106" s="678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5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02">
        <f t="shared" si="62"/>
        <v>10000000000</v>
      </c>
      <c r="HB107" s="678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5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5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02">
        <f t="shared" si="62"/>
        <v>10000000000</v>
      </c>
      <c r="HB108" s="678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5">
      <c r="AY109" s="633">
        <f t="shared" si="72"/>
        <v>17</v>
      </c>
      <c r="AZ109" s="633">
        <f t="shared" si="44"/>
        <v>5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5</v>
      </c>
      <c r="GB109" s="633">
        <f>'Tabulka kvalifikace'!DL97</f>
        <v>0</v>
      </c>
      <c r="GC109" s="633">
        <f>'Tabulka kvalifikace'!DM97</f>
        <v>0</v>
      </c>
      <c r="GD109" s="633">
        <f>'Tabulka kvalifikace'!DS97</f>
        <v>0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5</v>
      </c>
      <c r="GH109" s="633">
        <f>'Tabulka kvalifikace'!DW97</f>
        <v>1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10000000000</v>
      </c>
      <c r="GR109" s="639">
        <f t="shared" si="53"/>
        <v>17</v>
      </c>
      <c r="GS109" s="633">
        <f t="shared" si="54"/>
        <v>5</v>
      </c>
      <c r="GT109" s="633">
        <f t="shared" si="55"/>
        <v>5</v>
      </c>
      <c r="GU109" s="633">
        <f t="shared" si="56"/>
        <v>0</v>
      </c>
      <c r="GV109" s="633">
        <f t="shared" si="57"/>
        <v>0</v>
      </c>
      <c r="GW109" s="633">
        <f t="shared" si="58"/>
        <v>0</v>
      </c>
      <c r="GX109" s="633">
        <f t="shared" si="59"/>
        <v>0</v>
      </c>
      <c r="GY109" s="633">
        <f t="shared" si="60"/>
        <v>0</v>
      </c>
      <c r="GZ109" s="633">
        <f t="shared" si="61"/>
        <v>1</v>
      </c>
      <c r="HA109" s="802">
        <f t="shared" si="62"/>
        <v>50050000005</v>
      </c>
      <c r="HB109" s="678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5">
      <c r="AY110" s="633">
        <f t="shared" si="72"/>
        <v>18</v>
      </c>
      <c r="AZ110" s="633">
        <f t="shared" si="44"/>
        <v>6</v>
      </c>
      <c r="BB110" s="545">
        <f t="shared" si="31"/>
        <v>35</v>
      </c>
      <c r="BC110" s="545">
        <f>'Tabulka kvalifikace'!D42</f>
        <v>6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6</v>
      </c>
      <c r="GB110" s="633">
        <f>'Tabulka kvalifikace'!DL98</f>
        <v>10</v>
      </c>
      <c r="GC110" s="633">
        <f>'Tabulka kvalifikace'!DM98</f>
        <v>12</v>
      </c>
      <c r="GD110" s="633">
        <f>'Tabulka kvalifikace'!DS98</f>
        <v>1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7</v>
      </c>
      <c r="GH110" s="633">
        <f>'Tabulka kvalifikace'!DW98</f>
        <v>0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40000000000</v>
      </c>
      <c r="GR110" s="639">
        <f t="shared" si="53"/>
        <v>18</v>
      </c>
      <c r="GS110" s="633">
        <f t="shared" si="54"/>
        <v>6</v>
      </c>
      <c r="GT110" s="633">
        <f t="shared" si="55"/>
        <v>6</v>
      </c>
      <c r="GU110" s="633">
        <f t="shared" si="56"/>
        <v>10</v>
      </c>
      <c r="GV110" s="633">
        <f t="shared" si="57"/>
        <v>12</v>
      </c>
      <c r="GW110" s="633">
        <f t="shared" si="58"/>
        <v>1</v>
      </c>
      <c r="GX110" s="633">
        <f t="shared" si="59"/>
        <v>0</v>
      </c>
      <c r="GY110" s="633">
        <f t="shared" si="60"/>
        <v>0</v>
      </c>
      <c r="GZ110" s="633">
        <f t="shared" si="61"/>
        <v>0</v>
      </c>
      <c r="HA110" s="802">
        <f t="shared" si="62"/>
        <v>81071210006</v>
      </c>
      <c r="HB110" s="678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5">
      <c r="AY111" s="633">
        <f t="shared" si="72"/>
        <v>19</v>
      </c>
      <c r="AZ111" s="633">
        <f t="shared" si="44"/>
        <v>7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7</v>
      </c>
      <c r="GB111" s="633">
        <f>'Tabulka kvalifikace'!DL99</f>
        <v>5</v>
      </c>
      <c r="GC111" s="633">
        <f>'Tabulka kvalifikace'!DM99</f>
        <v>4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6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20000000000</v>
      </c>
      <c r="GR111" s="639">
        <f t="shared" si="53"/>
        <v>19</v>
      </c>
      <c r="GS111" s="633">
        <f t="shared" si="54"/>
        <v>7</v>
      </c>
      <c r="GT111" s="633">
        <f t="shared" si="55"/>
        <v>7</v>
      </c>
      <c r="GU111" s="633">
        <f t="shared" si="56"/>
        <v>5</v>
      </c>
      <c r="GV111" s="633">
        <f t="shared" si="57"/>
        <v>4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0</v>
      </c>
      <c r="HA111" s="802">
        <f t="shared" si="62"/>
        <v>60560410007</v>
      </c>
      <c r="HB111" s="678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5">
      <c r="AY112" s="633">
        <f t="shared" si="72"/>
        <v>20</v>
      </c>
      <c r="AZ112" s="633">
        <f t="shared" si="44"/>
        <v>999</v>
      </c>
      <c r="BB112" s="545">
        <f t="shared" si="31"/>
        <v>37</v>
      </c>
      <c r="BC112" s="545">
        <f>'Tabulka kvalifikace'!D44</f>
        <v>7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 t="str">
        <f>'Tabulka kvalifikace'!DJ100</f>
        <v/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0</v>
      </c>
      <c r="GH112" s="633">
        <f>'Tabulka kvalifikace'!DW100</f>
        <v>0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999</v>
      </c>
      <c r="GT112" s="633" t="str">
        <f t="shared" si="55"/>
        <v/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02">
        <f t="shared" si="62"/>
        <v>10000000000</v>
      </c>
      <c r="HB112" s="678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5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02">
        <f t="shared" si="62"/>
        <v>10000000000</v>
      </c>
      <c r="HB113" s="678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5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 t="str">
        <f>'Tabulka kvalifikace'!D46</f>
        <v/>
      </c>
      <c r="BD114" s="545">
        <f>'Tabulka kvalifikace'!AD46</f>
        <v>0</v>
      </c>
      <c r="BF114" s="548">
        <f t="shared" si="26"/>
        <v>999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02">
        <f t="shared" si="62"/>
        <v>10000000000</v>
      </c>
      <c r="HB114" s="678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5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02">
        <f t="shared" si="62"/>
        <v>10000000000</v>
      </c>
      <c r="HB115" s="678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5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02">
        <f t="shared" si="62"/>
        <v>10000000000</v>
      </c>
      <c r="HB116" s="678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5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02">
        <f t="shared" si="62"/>
        <v>10000000000</v>
      </c>
      <c r="HB117" s="678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5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02">
        <f t="shared" si="62"/>
        <v>10000000000</v>
      </c>
      <c r="HB118" s="678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5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02">
        <f t="shared" si="62"/>
        <v>10000000000</v>
      </c>
      <c r="HB119" s="678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5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02">
        <f t="shared" si="62"/>
        <v>10000000000</v>
      </c>
      <c r="HB120" s="678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5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02">
        <f t="shared" si="62"/>
        <v>10000000000</v>
      </c>
      <c r="HB121" s="678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5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02">
        <f t="shared" si="62"/>
        <v>10000000000</v>
      </c>
      <c r="HB122" s="678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5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02">
        <f t="shared" si="62"/>
        <v>10000000000</v>
      </c>
      <c r="HB123" s="678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5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02">
        <f t="shared" si="62"/>
        <v>10000000000</v>
      </c>
      <c r="HB124" s="678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5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5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5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5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5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5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5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5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5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5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5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5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5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5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5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5">
      <c r="BC140" s="545"/>
      <c r="BD140" s="545"/>
    </row>
    <row r="141" spans="52:134" hidden="1" x14ac:dyDescent="0.25">
      <c r="BC141" s="545"/>
      <c r="BD141" s="545"/>
    </row>
    <row r="142" spans="52:134" hidden="1" x14ac:dyDescent="0.25">
      <c r="BC142" s="545"/>
      <c r="BD142" s="545"/>
    </row>
    <row r="143" spans="52:134" hidden="1" x14ac:dyDescent="0.25">
      <c r="BC143" s="545"/>
      <c r="BD143" s="545"/>
    </row>
    <row r="144" spans="52:134" hidden="1" x14ac:dyDescent="0.25">
      <c r="AZ144" s="541" t="s">
        <v>3</v>
      </c>
      <c r="BA144" s="169">
        <f>BG62</f>
        <v>0</v>
      </c>
      <c r="BC144" s="545"/>
      <c r="BD144" s="545"/>
    </row>
    <row r="145" spans="52:117" hidden="1" x14ac:dyDescent="0.25">
      <c r="BC145" s="545"/>
      <c r="BD145" s="545"/>
    </row>
    <row r="146" spans="52:117" hidden="1" x14ac:dyDescent="0.25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5">
      <c r="BC147" s="545"/>
      <c r="BD147" s="545"/>
    </row>
    <row r="148" spans="52:117" hidden="1" x14ac:dyDescent="0.25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5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5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5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5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5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5">
      <c r="BC154" s="545"/>
      <c r="BD154" s="545"/>
    </row>
    <row r="155" spans="52:117" hidden="1" x14ac:dyDescent="0.25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5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5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5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5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5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5">
      <c r="BC161" s="545"/>
      <c r="BD161" s="545"/>
    </row>
    <row r="162" spans="55:56" x14ac:dyDescent="0.25">
      <c r="BC162" s="545"/>
      <c r="BD162" s="545"/>
    </row>
    <row r="163" spans="55:56" x14ac:dyDescent="0.25">
      <c r="BC163" s="545"/>
      <c r="BD163" s="545"/>
    </row>
    <row r="164" spans="55:56" x14ac:dyDescent="0.25">
      <c r="BC164" s="545"/>
      <c r="BD164" s="545"/>
    </row>
    <row r="165" spans="55:56" x14ac:dyDescent="0.25">
      <c r="BC165" s="545"/>
      <c r="BD165" s="545"/>
    </row>
    <row r="166" spans="55:56" x14ac:dyDescent="0.25">
      <c r="BC166" s="545"/>
      <c r="BD166" s="545"/>
    </row>
    <row r="167" spans="55:56" x14ac:dyDescent="0.25">
      <c r="BC167" s="545"/>
      <c r="BD167" s="545"/>
    </row>
    <row r="168" spans="55:56" x14ac:dyDescent="0.25">
      <c r="BC168" s="545"/>
      <c r="BD168" s="545"/>
    </row>
    <row r="169" spans="55:56" x14ac:dyDescent="0.25">
      <c r="BC169" s="545"/>
      <c r="BD169" s="545"/>
    </row>
    <row r="170" spans="55:56" x14ac:dyDescent="0.25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88" customWidth="1"/>
    <col min="2" max="2" width="7.109375" style="88" customWidth="1"/>
    <col min="3" max="3" width="9.109375" style="88" customWidth="1"/>
    <col min="4" max="4" width="10" style="88" customWidth="1"/>
    <col min="5" max="5" width="9.109375" style="88"/>
    <col min="6" max="6" width="10.6640625" style="88" customWidth="1"/>
    <col min="7" max="7" width="4.109375" style="88" customWidth="1"/>
    <col min="8" max="8" width="9.109375" style="88"/>
    <col min="9" max="9" width="11.44140625" style="88" bestFit="1" customWidth="1"/>
    <col min="10" max="10" width="9.109375" style="88"/>
    <col min="11" max="11" width="10.6640625" style="88" customWidth="1"/>
  </cols>
  <sheetData>
    <row r="1" spans="1:19" ht="45" x14ac:dyDescent="0.25">
      <c r="B1" s="893" t="str">
        <f>[1]List1!$A$274</f>
        <v>Informační tabule</v>
      </c>
      <c r="C1" s="893"/>
      <c r="D1" s="893"/>
      <c r="E1" s="893"/>
      <c r="F1" s="893"/>
      <c r="G1" s="893"/>
      <c r="H1" s="893"/>
      <c r="I1" s="893"/>
      <c r="J1" s="893"/>
      <c r="K1" s="893"/>
    </row>
    <row r="3" spans="1:19" ht="15.6" x14ac:dyDescent="0.25">
      <c r="B3" s="894" t="e">
        <f>#REF!</f>
        <v>#REF!</v>
      </c>
      <c r="C3" s="894"/>
      <c r="D3" s="894"/>
      <c r="E3" s="894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6" x14ac:dyDescent="0.25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6" x14ac:dyDescent="0.25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6.4" x14ac:dyDescent="0.25">
      <c r="A7" s="77" t="e">
        <f>#REF!</f>
        <v>#REF!</v>
      </c>
      <c r="B7" s="88" t="e">
        <f>#REF!</f>
        <v>#REF!</v>
      </c>
      <c r="C7" s="678" t="e">
        <f>#REF!</f>
        <v>#REF!</v>
      </c>
      <c r="D7" s="678"/>
      <c r="E7" s="678"/>
      <c r="F7" s="678"/>
      <c r="H7" s="678" t="e">
        <f>#REF!</f>
        <v>#REF!</v>
      </c>
      <c r="I7" s="678"/>
      <c r="J7" s="678"/>
      <c r="K7" s="678"/>
      <c r="Q7" s="673"/>
    </row>
    <row r="8" spans="1:19" x14ac:dyDescent="0.25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5">
      <c r="A9" s="667" t="e">
        <f>IF(#REF!="x",#REF!,(#REF!))</f>
        <v>#REF!</v>
      </c>
      <c r="B9" s="667" t="e">
        <f>IF(A9="","",(#REF!))</f>
        <v>#REF!</v>
      </c>
      <c r="C9" s="892" t="e">
        <f>IF(#REF!="x",'Tabulka finále'!A32,((IF(A9="",$O$7,(#REF!)))))</f>
        <v>#REF!</v>
      </c>
      <c r="D9" s="892"/>
      <c r="E9" s="892"/>
      <c r="F9" s="669" t="e">
        <f>IF(#REF!="x","",IF(A9="",$O$7,(#REF!)))</f>
        <v>#REF!</v>
      </c>
      <c r="G9" s="669"/>
      <c r="H9" s="892" t="e">
        <f>IF(#REF!="x","",IF(A9="",$O$7,(#REF!)))</f>
        <v>#REF!</v>
      </c>
      <c r="I9" s="892"/>
      <c r="J9" s="892"/>
      <c r="K9" s="669" t="e">
        <f>IF(#REF!="x","",IF(A9="",$O$7,(#REF!)))</f>
        <v>#REF!</v>
      </c>
    </row>
    <row r="10" spans="1:19" ht="15.75" customHeight="1" x14ac:dyDescent="0.25">
      <c r="A10" s="667" t="e">
        <f>#REF!</f>
        <v>#REF!</v>
      </c>
      <c r="B10" s="667" t="e">
        <f>IF(A10="","",(#REF!))</f>
        <v>#REF!</v>
      </c>
      <c r="C10" s="892" t="e">
        <f>IF('Tabulka finále'!Q42="","",(IF('Tabulka finále'!Q32="","",(IF(#REF!="x",'Tabulka finále'!A36,IF(A10="",$O$7,(#REF!)))))))</f>
        <v>#REF!</v>
      </c>
      <c r="D10" s="892"/>
      <c r="E10" s="892"/>
      <c r="F10" s="669" t="e">
        <f>IF('Tabulka finále'!Q42="","",(IF('Tabulka finále'!Q32="","",(IF(#REF!="x",'Tabulka finále'!B36,IF(A10="",$O$7,(#REF!)))))))</f>
        <v>#REF!</v>
      </c>
      <c r="G10" s="669"/>
      <c r="H10" s="892" t="e">
        <f>IF('Tabulka finále'!Q42="","",(IF('Tabulka finále'!Q32="","",(IF(#REF!="x",'Tabulka finále'!A38,IF(A10="",$O$7,(#REF!)))))))</f>
        <v>#REF!</v>
      </c>
      <c r="I10" s="892"/>
      <c r="J10" s="892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667" t="e">
        <f>#REF!</f>
        <v>#REF!</v>
      </c>
      <c r="B11" s="667" t="e">
        <f>IF(A11="","",(#REF!))</f>
        <v>#REF!</v>
      </c>
      <c r="C11" s="892" t="e">
        <f>IF(A11="",$O$7,(#REF!))</f>
        <v>#REF!</v>
      </c>
      <c r="D11" s="892"/>
      <c r="E11" s="892"/>
      <c r="F11" s="669" t="e">
        <f>IF(A11="",$O$7,(#REF!))</f>
        <v>#REF!</v>
      </c>
      <c r="G11" s="669"/>
      <c r="H11" s="892" t="e">
        <f>IF(A11="",$O$7,(#REF!))</f>
        <v>#REF!</v>
      </c>
      <c r="I11" s="892"/>
      <c r="J11" s="892"/>
      <c r="K11" s="669" t="e">
        <f>IF(A11="",$O$7,(#REF!))</f>
        <v>#REF!</v>
      </c>
    </row>
    <row r="12" spans="1:19" ht="15.75" customHeight="1" x14ac:dyDescent="0.25">
      <c r="A12" s="667" t="e">
        <f>IF(#REF!="x",(#REF!+1),(#REF!))</f>
        <v>#REF!</v>
      </c>
      <c r="B12" s="667" t="e">
        <f>IF(A12="","",(#REF!))</f>
        <v>#REF!</v>
      </c>
      <c r="C12" s="892" t="e">
        <f>IF(#REF!="x",'Tabulka finále'!A42,(IF(A12="",$O$7,(#REF!))))</f>
        <v>#REF!</v>
      </c>
      <c r="D12" s="892"/>
      <c r="E12" s="892"/>
      <c r="F12" s="669" t="e">
        <f>IF(#REF!="x","",IF(A12="",$O$7,(#REF!)))</f>
        <v>#REF!</v>
      </c>
      <c r="G12" s="669"/>
      <c r="H12" s="892" t="e">
        <f>IF(#REF!="x","",IF(A12="",$O$7,(#REF!)))</f>
        <v>#REF!</v>
      </c>
      <c r="I12" s="892"/>
      <c r="J12" s="892"/>
      <c r="K12" s="669" t="e">
        <f>IF(#REF!="x","",IF(A12="",$O$7,(#REF!)))</f>
        <v>#REF!</v>
      </c>
    </row>
    <row r="13" spans="1:19" ht="15.75" customHeight="1" x14ac:dyDescent="0.25">
      <c r="A13" s="675" t="e">
        <f>IF(#REF!="x",(#REF!+1),(#REF!))</f>
        <v>#REF!</v>
      </c>
      <c r="B13" s="667" t="e">
        <f>IF(A13="","",(#REF!))</f>
        <v>#REF!</v>
      </c>
      <c r="C13" s="892" t="e">
        <f>IF(#REF!="x",'Tabulka finále'!A43,(IF(A13="",$O$7,(#REF!))))</f>
        <v>#REF!</v>
      </c>
      <c r="D13" s="892"/>
      <c r="E13" s="892"/>
      <c r="F13" s="669" t="e">
        <f>IF('Tabulka finále'!Q42="","",(IF(#REF!="x",'Tabulka finále'!B46,IF(A13="",$O$7,(#REF!)))))</f>
        <v>#REF!</v>
      </c>
      <c r="G13" s="669"/>
      <c r="H13" s="892" t="e">
        <f>IF('Tabulka finále'!Q42="","",(IF(#REF!="x",'Tabulka finále'!A48,IF(A13="",$O$7,(#REF!)))))</f>
        <v>#REF!</v>
      </c>
      <c r="I13" s="892"/>
      <c r="J13" s="892"/>
      <c r="K13" s="669" t="e">
        <f>IF('Tabulka finále'!Q42="","",(IF(#REF!="x",'Tabulka finále'!B48,IF(A13="",$O$7,(#REF!)))))</f>
        <v>#REF!</v>
      </c>
    </row>
    <row r="14" spans="1:19" ht="15.75" customHeight="1" x14ac:dyDescent="0.25">
      <c r="A14" s="675" t="e">
        <f>IF(#REF!="x",(#REF!+1),(#REF!))</f>
        <v>#REF!</v>
      </c>
      <c r="B14" s="667" t="e">
        <f>IF(A14="","",(#REF!))</f>
        <v>#REF!</v>
      </c>
      <c r="C14" s="892" t="e">
        <f>IF(#REF!="x",'Tabulka finále'!A44,(IF(A14="",$O$7,(#REF!))))</f>
        <v>#REF!</v>
      </c>
      <c r="D14" s="892"/>
      <c r="E14" s="892"/>
      <c r="F14" s="669" t="e">
        <f>IF(A14="",$O$7,(#REF!))</f>
        <v>#REF!</v>
      </c>
      <c r="G14" s="669"/>
      <c r="H14" s="892" t="e">
        <f>IF(A14="",$O$7,(#REF!))</f>
        <v>#REF!</v>
      </c>
      <c r="I14" s="892"/>
      <c r="J14" s="892"/>
      <c r="K14" s="669" t="e">
        <f>IF(A14="",$O$7,(#REF!))</f>
        <v>#REF!</v>
      </c>
    </row>
    <row r="15" spans="1:19" ht="15.75" customHeight="1" x14ac:dyDescent="0.25">
      <c r="A15" s="667" t="e">
        <f>IF(#REF!="x",(#REF!+1),#REF!)</f>
        <v>#REF!</v>
      </c>
      <c r="B15" s="667" t="e">
        <f>IF(A15="","",(#REF!))</f>
        <v>#REF!</v>
      </c>
      <c r="C15" s="892" t="e">
        <f>IF(#REF!="x",'Tabulka finále'!A45,(IF(A15="",$O$7,(#REF!))))</f>
        <v>#REF!</v>
      </c>
      <c r="D15" s="892"/>
      <c r="E15" s="892"/>
      <c r="F15" s="669" t="e">
        <f>IF(#REF!="x","",IF(A15="",$O$7,(#REF!)))</f>
        <v>#REF!</v>
      </c>
      <c r="G15" s="669"/>
      <c r="H15" s="892" t="e">
        <f>IF(#REF!="x","",IF(A15="",$O$7,(#REF!)))</f>
        <v>#REF!</v>
      </c>
      <c r="I15" s="892"/>
      <c r="J15" s="892"/>
      <c r="K15" s="669" t="e">
        <f>IF(#REF!="x","",IF(A15="",$O$7,(#REF!)))</f>
        <v>#REF!</v>
      </c>
    </row>
    <row r="16" spans="1:19" ht="15.75" customHeight="1" x14ac:dyDescent="0.25">
      <c r="A16" s="667" t="e">
        <f>#REF!</f>
        <v>#REF!</v>
      </c>
      <c r="B16" s="667" t="e">
        <f>IF(A16="","",(#REF!))</f>
        <v>#REF!</v>
      </c>
      <c r="C16" s="892" t="e">
        <f>IF(#REF!="x",'Tabulka finále'!A46,(IF(A16="",$O$7,(#REF!))))</f>
        <v>#REF!</v>
      </c>
      <c r="D16" s="892"/>
      <c r="E16" s="892"/>
      <c r="F16" s="669" t="e">
        <f>IF(#REF!="x",'Tabulka finále'!B56,IF(A16="",$O$7,(#REF!)))</f>
        <v>#REF!</v>
      </c>
      <c r="G16" s="669"/>
      <c r="H16" s="892" t="e">
        <f>IF(#REF!="x",'Tabulka finále'!A58,IF(A16="",$O$7,(#REF!)))</f>
        <v>#REF!</v>
      </c>
      <c r="I16" s="892"/>
      <c r="J16" s="892"/>
      <c r="K16" s="669" t="e">
        <f>IF(#REF!="x",'Tabulka finále'!B58,IF(A16="",$O$7,(#REF!)))</f>
        <v>#REF!</v>
      </c>
    </row>
    <row r="17" spans="1:11" ht="15.75" customHeight="1" x14ac:dyDescent="0.25">
      <c r="A17" s="667" t="e">
        <f>#REF!</f>
        <v>#REF!</v>
      </c>
      <c r="B17" s="667" t="e">
        <f>IF(A17="","",(#REF!))</f>
        <v>#REF!</v>
      </c>
      <c r="C17" s="892" t="e">
        <f>IF(#REF!="x",'Tabulka finále'!A47,(IF(A17="",$O$7,(#REF!))))</f>
        <v>#REF!</v>
      </c>
      <c r="D17" s="892"/>
      <c r="E17" s="892"/>
      <c r="F17" s="669" t="e">
        <f>IF(A17="",$O$7,(#REF!))</f>
        <v>#REF!</v>
      </c>
      <c r="G17" s="669"/>
      <c r="H17" s="892" t="e">
        <f>IF(A17="",$O$7,(#REF!))</f>
        <v>#REF!</v>
      </c>
      <c r="I17" s="892"/>
      <c r="J17" s="892"/>
      <c r="K17" s="669" t="e">
        <f>IF(A17="",$O$7,(#REF!))</f>
        <v>#REF!</v>
      </c>
    </row>
    <row r="18" spans="1:11" ht="15.75" customHeight="1" x14ac:dyDescent="0.25">
      <c r="A18" s="667" t="e">
        <f>#REF!</f>
        <v>#REF!</v>
      </c>
      <c r="B18" s="667" t="e">
        <f>IF(A18="","",(#REF!))</f>
        <v>#REF!</v>
      </c>
      <c r="C18" s="892" t="e">
        <f>IF(#REF!="x",'Tabulka finále'!A48,(IF(A18="",$O$7,(#REF!))))</f>
        <v>#REF!</v>
      </c>
      <c r="D18" s="892"/>
      <c r="E18" s="892"/>
      <c r="F18" s="669" t="e">
        <f>IF(A18="",$O$7,(#REF!))</f>
        <v>#REF!</v>
      </c>
      <c r="G18" s="669"/>
      <c r="H18" s="892" t="e">
        <f>IF(A18="",$O$7,(#REF!))</f>
        <v>#REF!</v>
      </c>
      <c r="I18" s="892"/>
      <c r="J18" s="892"/>
      <c r="K18" s="669" t="e">
        <f>IF(A18="",$O$7,(#REF!))</f>
        <v>#REF!</v>
      </c>
    </row>
    <row r="19" spans="1:11" ht="15.75" customHeight="1" x14ac:dyDescent="0.25">
      <c r="A19" s="667" t="e">
        <f>#REF!</f>
        <v>#REF!</v>
      </c>
      <c r="B19" s="667" t="e">
        <f>IF(A19="","",(#REF!))</f>
        <v>#REF!</v>
      </c>
      <c r="C19" s="892" t="e">
        <f>IF(#REF!="x",'Tabulka finále'!A49,(IF(A19="",$O$7,(#REF!))))</f>
        <v>#REF!</v>
      </c>
      <c r="D19" s="892"/>
      <c r="E19" s="892"/>
      <c r="F19" s="669" t="e">
        <f>IF(A19="",$O$7,(#REF!))</f>
        <v>#REF!</v>
      </c>
      <c r="G19" s="669"/>
      <c r="H19" s="892" t="e">
        <f>IF(A19="",$O$7,(#REF!))</f>
        <v>#REF!</v>
      </c>
      <c r="I19" s="892"/>
      <c r="J19" s="892"/>
      <c r="K19" s="669" t="e">
        <f>IF(A19="",$O$7,(#REF!))</f>
        <v>#REF!</v>
      </c>
    </row>
    <row r="20" spans="1:11" ht="15.75" customHeight="1" x14ac:dyDescent="0.25">
      <c r="A20" s="667" t="e">
        <f>#REF!</f>
        <v>#REF!</v>
      </c>
      <c r="B20" s="667" t="e">
        <f>IF(A20="","",(#REF!))</f>
        <v>#REF!</v>
      </c>
      <c r="C20" s="892" t="e">
        <f>IF(#REF!="x",'Tabulka finále'!A50,(IF(A20="",$O$7,(#REF!))))</f>
        <v>#REF!</v>
      </c>
      <c r="D20" s="892"/>
      <c r="E20" s="892"/>
      <c r="F20" s="669" t="e">
        <f>IF(A20="",$O$7,(#REF!))</f>
        <v>#REF!</v>
      </c>
      <c r="G20" s="669"/>
      <c r="H20" s="892" t="e">
        <f>IF(A20="",$O$7,(#REF!))</f>
        <v>#REF!</v>
      </c>
      <c r="I20" s="892"/>
      <c r="J20" s="892"/>
      <c r="K20" s="669" t="e">
        <f>IF(A20="",$O$7,(#REF!))</f>
        <v>#REF!</v>
      </c>
    </row>
    <row r="21" spans="1:11" ht="15.75" customHeight="1" x14ac:dyDescent="0.25">
      <c r="A21" s="667" t="e">
        <f>#REF!</f>
        <v>#REF!</v>
      </c>
      <c r="B21" s="667" t="e">
        <f>IF(A21="","",(#REF!))</f>
        <v>#REF!</v>
      </c>
      <c r="C21" s="892" t="e">
        <f>IF(#REF!="x",'Tabulka finále'!A51,(IF(A21="",$O$7,(#REF!))))</f>
        <v>#REF!</v>
      </c>
      <c r="D21" s="892"/>
      <c r="E21" s="892"/>
      <c r="F21" s="669" t="e">
        <f>IF(A21="",$O$7,(#REF!))</f>
        <v>#REF!</v>
      </c>
      <c r="G21" s="669"/>
      <c r="H21" s="892" t="e">
        <f>IF(A21="",$O$7,(#REF!))</f>
        <v>#REF!</v>
      </c>
      <c r="I21" s="892"/>
      <c r="J21" s="892"/>
      <c r="K21" s="669" t="e">
        <f>IF(A21="",$O$7,(#REF!))</f>
        <v>#REF!</v>
      </c>
    </row>
    <row r="22" spans="1:11" ht="15.75" customHeight="1" x14ac:dyDescent="0.25">
      <c r="A22" s="667" t="e">
        <f>#REF!</f>
        <v>#REF!</v>
      </c>
      <c r="B22" s="667" t="e">
        <f>IF(A22="","",(#REF!))</f>
        <v>#REF!</v>
      </c>
      <c r="C22" s="892" t="e">
        <f>IF(#REF!="x",'Tabulka finále'!A52,(IF(A22="",$O$7,(#REF!))))</f>
        <v>#REF!</v>
      </c>
      <c r="D22" s="892"/>
      <c r="E22" s="892"/>
      <c r="F22" s="669" t="e">
        <f>IF(A22="",$O$7,(#REF!))</f>
        <v>#REF!</v>
      </c>
      <c r="G22" s="669"/>
      <c r="H22" s="892" t="e">
        <f>IF(A22="",$O$7,(#REF!))</f>
        <v>#REF!</v>
      </c>
      <c r="I22" s="892"/>
      <c r="J22" s="892"/>
      <c r="K22" s="669" t="e">
        <f>IF(A22="",$O$7,(#REF!))</f>
        <v>#REF!</v>
      </c>
    </row>
    <row r="23" spans="1:11" ht="15.75" customHeight="1" x14ac:dyDescent="0.25">
      <c r="A23" s="667" t="e">
        <f>#REF!</f>
        <v>#REF!</v>
      </c>
      <c r="B23" s="667" t="e">
        <f>IF(A23="","",(#REF!))</f>
        <v>#REF!</v>
      </c>
      <c r="C23" s="892" t="e">
        <f>IF(#REF!="x",'Tabulka finále'!A53,(IF(A23="",$O$7,(#REF!))))</f>
        <v>#REF!</v>
      </c>
      <c r="D23" s="892"/>
      <c r="E23" s="892"/>
      <c r="F23" s="669" t="e">
        <f>IF(A23="",$O$7,(#REF!))</f>
        <v>#REF!</v>
      </c>
      <c r="G23" s="669"/>
      <c r="H23" s="892" t="e">
        <f>IF(A23="",$O$7,(#REF!))</f>
        <v>#REF!</v>
      </c>
      <c r="I23" s="892"/>
      <c r="J23" s="892"/>
      <c r="K23" s="669" t="e">
        <f>IF(A23="",$O$7,(#REF!))</f>
        <v>#REF!</v>
      </c>
    </row>
    <row r="24" spans="1:11" ht="15.75" customHeight="1" x14ac:dyDescent="0.25">
      <c r="A24" s="667" t="e">
        <f>#REF!</f>
        <v>#REF!</v>
      </c>
      <c r="B24" s="667" t="e">
        <f>IF(A24="","",(#REF!))</f>
        <v>#REF!</v>
      </c>
      <c r="C24" s="892" t="e">
        <f>IF(#REF!="x",'Tabulka finále'!A54,(IF(A24="",$O$7,(#REF!))))</f>
        <v>#REF!</v>
      </c>
      <c r="D24" s="892"/>
      <c r="E24" s="892"/>
      <c r="F24" s="669" t="e">
        <f>IF(A24="",$O$7,(#REF!))</f>
        <v>#REF!</v>
      </c>
      <c r="G24" s="669"/>
      <c r="H24" s="892" t="e">
        <f>IF(A24="",$O$7,(#REF!))</f>
        <v>#REF!</v>
      </c>
      <c r="I24" s="892"/>
      <c r="J24" s="892"/>
      <c r="K24" s="669" t="e">
        <f>IF(A24="",$O$7,(#REF!))</f>
        <v>#REF!</v>
      </c>
    </row>
    <row r="25" spans="1:11" x14ac:dyDescent="0.25">
      <c r="B25" s="667"/>
      <c r="C25" s="891"/>
      <c r="D25" s="891"/>
      <c r="E25" s="891"/>
      <c r="F25" s="668"/>
      <c r="G25" s="668"/>
      <c r="H25" s="891"/>
      <c r="I25" s="891"/>
      <c r="J25" s="891"/>
      <c r="K25" s="668"/>
    </row>
    <row r="26" spans="1:11" x14ac:dyDescent="0.25">
      <c r="B26" s="667"/>
      <c r="C26" s="891"/>
      <c r="D26" s="891"/>
      <c r="E26" s="891"/>
      <c r="F26" s="668"/>
      <c r="G26" s="668"/>
      <c r="H26" s="891"/>
      <c r="I26" s="891"/>
      <c r="J26" s="891"/>
      <c r="K26" s="668"/>
    </row>
    <row r="27" spans="1:11" x14ac:dyDescent="0.25">
      <c r="B27" s="667"/>
      <c r="C27" s="891"/>
      <c r="D27" s="891"/>
      <c r="E27" s="891"/>
      <c r="F27" s="668"/>
      <c r="G27" s="668"/>
      <c r="H27" s="891"/>
      <c r="I27" s="891"/>
      <c r="J27" s="891"/>
      <c r="K27" s="668"/>
    </row>
    <row r="28" spans="1:11" x14ac:dyDescent="0.25">
      <c r="B28" s="667"/>
      <c r="C28" s="891"/>
      <c r="D28" s="891"/>
      <c r="E28" s="891"/>
      <c r="F28" s="668"/>
      <c r="G28" s="668"/>
      <c r="H28" s="891"/>
      <c r="I28" s="891"/>
      <c r="J28" s="891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2022-12-03T12:05:40Z</cp:lastPrinted>
  <dcterms:created xsi:type="dcterms:W3CDTF">2002-01-25T08:02:23Z</dcterms:created>
  <dcterms:modified xsi:type="dcterms:W3CDTF">2022-12-07T09:10:12Z</dcterms:modified>
</cp:coreProperties>
</file>