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2120" windowHeight="10095" activeTab="1"/>
  </bookViews>
  <sheets>
    <sheet name="Výplata" sheetId="1" r:id="rId1"/>
    <sheet name="Údaje o rozhodčích" sheetId="2" r:id="rId2"/>
  </sheets>
  <externalReferences>
    <externalReference r:id="rId3"/>
  </externalReferences>
  <definedNames>
    <definedName name="_xlnm.Print_Area" localSheetId="0">Výplata!$Q$2:$AE$29</definedName>
  </definedNames>
  <calcPr calcId="145621"/>
</workbook>
</file>

<file path=xl/calcChain.xml><?xml version="1.0" encoding="utf-8"?>
<calcChain xmlns="http://schemas.openxmlformats.org/spreadsheetml/2006/main">
  <c r="AL10" i="2" l="1"/>
  <c r="BY2" i="2" l="1"/>
  <c r="BM21" i="2" l="1"/>
  <c r="BN21" i="2" s="1"/>
  <c r="BM22" i="2"/>
  <c r="BN22" i="2" s="1"/>
  <c r="BM23" i="2"/>
  <c r="BN23" i="2" s="1"/>
  <c r="BM24" i="2"/>
  <c r="BN24" i="2" s="1"/>
  <c r="BM25" i="2"/>
  <c r="BN25" i="2" s="1"/>
  <c r="BM26" i="2"/>
  <c r="BN26" i="2" s="1"/>
  <c r="BM27" i="2"/>
  <c r="BN27" i="2" s="1"/>
  <c r="BM28" i="2"/>
  <c r="BN28" i="2" s="1"/>
  <c r="BS28" i="2" s="1"/>
  <c r="BM29" i="2"/>
  <c r="BN29" i="2" s="1"/>
  <c r="BM30" i="2"/>
  <c r="BN30" i="2" s="1"/>
  <c r="BM31" i="2"/>
  <c r="BN31" i="2" s="1"/>
  <c r="BM32" i="2"/>
  <c r="BN32" i="2" s="1"/>
  <c r="BM33" i="2"/>
  <c r="BN33" i="2" s="1"/>
  <c r="BM34" i="2"/>
  <c r="BN34" i="2" s="1"/>
  <c r="BM35" i="2"/>
  <c r="BN35" i="2" s="1"/>
  <c r="BM36" i="2"/>
  <c r="BN36" i="2" s="1"/>
  <c r="BM37" i="2"/>
  <c r="BN37" i="2" s="1"/>
  <c r="BM38" i="2"/>
  <c r="BN38" i="2" s="1"/>
  <c r="BM39" i="2"/>
  <c r="BN39" i="2" s="1"/>
  <c r="BM40" i="2"/>
  <c r="BN40" i="2" s="1"/>
  <c r="BM41" i="2"/>
  <c r="BN41" i="2" s="1"/>
  <c r="BM42" i="2"/>
  <c r="BN42" i="2" s="1"/>
  <c r="BM43" i="2"/>
  <c r="BN43" i="2" s="1"/>
  <c r="BM44" i="2"/>
  <c r="BN44" i="2" s="1"/>
  <c r="BM45" i="2"/>
  <c r="BN45" i="2" s="1"/>
  <c r="BM46" i="2"/>
  <c r="BN46" i="2" s="1"/>
  <c r="BM47" i="2"/>
  <c r="BN47" i="2" s="1"/>
  <c r="BM48" i="2"/>
  <c r="BN48" i="2" s="1"/>
  <c r="BM49" i="2"/>
  <c r="BN49" i="2" s="1"/>
  <c r="BM50" i="2"/>
  <c r="BN50" i="2" s="1"/>
  <c r="BM51" i="2"/>
  <c r="BN51" i="2" s="1"/>
  <c r="BM52" i="2"/>
  <c r="BN52" i="2" s="1"/>
  <c r="BM53" i="2"/>
  <c r="BN53" i="2" s="1"/>
  <c r="BM54" i="2"/>
  <c r="BN54" i="2" s="1"/>
  <c r="BM55" i="2"/>
  <c r="BN55" i="2" s="1"/>
  <c r="BM56" i="2"/>
  <c r="BN56" i="2" s="1"/>
  <c r="BM57" i="2"/>
  <c r="BN57" i="2" s="1"/>
  <c r="BM58" i="2"/>
  <c r="BN58" i="2" s="1"/>
  <c r="BM59" i="2"/>
  <c r="BN59" i="2" s="1"/>
  <c r="BM60" i="2"/>
  <c r="BN60" i="2" s="1"/>
  <c r="BM61" i="2"/>
  <c r="BN61" i="2" s="1"/>
  <c r="BM62" i="2"/>
  <c r="BN62" i="2" s="1"/>
  <c r="BM63" i="2"/>
  <c r="BN63" i="2" s="1"/>
  <c r="BM64" i="2"/>
  <c r="BN64" i="2" s="1"/>
  <c r="BM65" i="2"/>
  <c r="BN65" i="2" s="1"/>
  <c r="BM66" i="2"/>
  <c r="BN66" i="2" s="1"/>
  <c r="BM67" i="2"/>
  <c r="BN67" i="2" s="1"/>
  <c r="BM68" i="2"/>
  <c r="BN68" i="2" s="1"/>
  <c r="BM69" i="2"/>
  <c r="BN69" i="2" s="1"/>
  <c r="BM70" i="2"/>
  <c r="BN70" i="2" s="1"/>
  <c r="BM71" i="2"/>
  <c r="BN71" i="2" s="1"/>
  <c r="BM72" i="2"/>
  <c r="BN72" i="2" s="1"/>
  <c r="BM73" i="2"/>
  <c r="BN73" i="2" s="1"/>
  <c r="BM74" i="2"/>
  <c r="BN74" i="2" s="1"/>
  <c r="BM75" i="2"/>
  <c r="BN75" i="2" s="1"/>
  <c r="BM76" i="2"/>
  <c r="BN76" i="2" s="1"/>
  <c r="BM77" i="2"/>
  <c r="BN77" i="2" s="1"/>
  <c r="BM78" i="2"/>
  <c r="BN78" i="2" s="1"/>
  <c r="BM79" i="2"/>
  <c r="BN79" i="2" s="1"/>
  <c r="BM80" i="2"/>
  <c r="BN80" i="2" s="1"/>
  <c r="BM81" i="2"/>
  <c r="BN81" i="2" s="1"/>
  <c r="BM82" i="2"/>
  <c r="BN82" i="2" s="1"/>
  <c r="BM83" i="2"/>
  <c r="BN83" i="2" s="1"/>
  <c r="BM84" i="2"/>
  <c r="BN84" i="2" s="1"/>
  <c r="BM85" i="2"/>
  <c r="BN85" i="2" s="1"/>
  <c r="BM86" i="2"/>
  <c r="BN86" i="2" s="1"/>
  <c r="BM87" i="2"/>
  <c r="BN87" i="2" s="1"/>
  <c r="BM88" i="2"/>
  <c r="BN88" i="2" s="1"/>
  <c r="BM89" i="2"/>
  <c r="BN89" i="2" s="1"/>
  <c r="BM90" i="2"/>
  <c r="BN90" i="2" s="1"/>
  <c r="BM91" i="2"/>
  <c r="BN91" i="2" s="1"/>
  <c r="BM92" i="2"/>
  <c r="BN92" i="2" s="1"/>
  <c r="BM93" i="2"/>
  <c r="BN93" i="2" s="1"/>
  <c r="BM94" i="2"/>
  <c r="BN94" i="2" s="1"/>
  <c r="BM95" i="2"/>
  <c r="BN95" i="2" s="1"/>
  <c r="BM96" i="2"/>
  <c r="BN96" i="2" s="1"/>
  <c r="BM97" i="2"/>
  <c r="BN97" i="2" s="1"/>
  <c r="BM98" i="2"/>
  <c r="BN98" i="2" s="1"/>
  <c r="BM99" i="2"/>
  <c r="BN99" i="2" s="1"/>
  <c r="BM100" i="2"/>
  <c r="BN100" i="2" s="1"/>
  <c r="BM101" i="2"/>
  <c r="BN101" i="2" s="1"/>
  <c r="BM102" i="2"/>
  <c r="BN102" i="2" s="1"/>
  <c r="BJ1" i="2"/>
  <c r="BK1" i="2"/>
  <c r="BI1" i="2"/>
  <c r="BU24" i="2" l="1"/>
  <c r="BS24" i="2"/>
  <c r="BR24" i="2"/>
  <c r="BQ24" i="2"/>
  <c r="BR27" i="2"/>
  <c r="BQ27" i="2"/>
  <c r="BU27" i="2"/>
  <c r="BS27" i="2"/>
  <c r="BR23" i="2"/>
  <c r="BQ23" i="2"/>
  <c r="BU23" i="2"/>
  <c r="BS23" i="2"/>
  <c r="BU26" i="2"/>
  <c r="BS26" i="2"/>
  <c r="BR26" i="2"/>
  <c r="BQ26" i="2"/>
  <c r="BU22" i="2"/>
  <c r="BS22" i="2"/>
  <c r="BR22" i="2"/>
  <c r="BQ22" i="2"/>
  <c r="BU25" i="2"/>
  <c r="BS25" i="2"/>
  <c r="BR25" i="2"/>
  <c r="BQ25" i="2"/>
  <c r="BU21" i="2"/>
  <c r="BS21" i="2"/>
  <c r="BR21" i="2"/>
  <c r="BQ21" i="2"/>
  <c r="BT21" i="2"/>
  <c r="AM28" i="2"/>
  <c r="AN28" i="2" s="1"/>
  <c r="AM27" i="2"/>
  <c r="AN27" i="2" s="1"/>
  <c r="AL28" i="2"/>
  <c r="AL27" i="2"/>
  <c r="AM26" i="2"/>
  <c r="AN26" i="2" s="1"/>
  <c r="AL26" i="2"/>
  <c r="BT23" i="2"/>
  <c r="AS20" i="2"/>
  <c r="AT20" i="2"/>
  <c r="AU20" i="2"/>
  <c r="AV20" i="2"/>
  <c r="AS21" i="2"/>
  <c r="AT21" i="2"/>
  <c r="AU21" i="2"/>
  <c r="AV21" i="2"/>
  <c r="AG59" i="2"/>
  <c r="AH59" i="2"/>
  <c r="AG60" i="2"/>
  <c r="AH60" i="2"/>
  <c r="AG61" i="2"/>
  <c r="AH61" i="2"/>
  <c r="AG62" i="2"/>
  <c r="AH62" i="2"/>
  <c r="AG63" i="2"/>
  <c r="AH63" i="2"/>
  <c r="AG64" i="2"/>
  <c r="AH64" i="2"/>
  <c r="AG65" i="2"/>
  <c r="AH65" i="2"/>
  <c r="AG66" i="2"/>
  <c r="AH66" i="2"/>
  <c r="AG67" i="2"/>
  <c r="AH67" i="2"/>
  <c r="AG68" i="2"/>
  <c r="AH68" i="2"/>
  <c r="AG69" i="2"/>
  <c r="AH69" i="2"/>
  <c r="AG70" i="2"/>
  <c r="AH70" i="2"/>
  <c r="AG71" i="2"/>
  <c r="AH71" i="2"/>
  <c r="AG72" i="2"/>
  <c r="AH72" i="2"/>
  <c r="AG73" i="2"/>
  <c r="AH73" i="2"/>
  <c r="AG74" i="2"/>
  <c r="AH74" i="2"/>
  <c r="AG75" i="2"/>
  <c r="AH75" i="2"/>
  <c r="AG76" i="2"/>
  <c r="AH76" i="2"/>
  <c r="AG77" i="2"/>
  <c r="AH77" i="2"/>
  <c r="AG78" i="2"/>
  <c r="AH78" i="2"/>
  <c r="AG79" i="2"/>
  <c r="AH79" i="2"/>
  <c r="AG80" i="2"/>
  <c r="AH80" i="2"/>
  <c r="AG81" i="2"/>
  <c r="AH81" i="2"/>
  <c r="AG82" i="2"/>
  <c r="AH82" i="2"/>
  <c r="AG83" i="2"/>
  <c r="AH83" i="2"/>
  <c r="AG84" i="2"/>
  <c r="AH84" i="2"/>
  <c r="AG85" i="2"/>
  <c r="AH85" i="2"/>
  <c r="AG86" i="2"/>
  <c r="AH86" i="2"/>
  <c r="AG87" i="2"/>
  <c r="AH87" i="2"/>
  <c r="AG88" i="2"/>
  <c r="AH88" i="2"/>
  <c r="AG89" i="2"/>
  <c r="AH89" i="2"/>
  <c r="AG90" i="2"/>
  <c r="AH90" i="2"/>
  <c r="AG91" i="2"/>
  <c r="AH91" i="2"/>
  <c r="AG92" i="2"/>
  <c r="AH92" i="2"/>
  <c r="AG93" i="2"/>
  <c r="AH93" i="2"/>
  <c r="AG94" i="2"/>
  <c r="AH94" i="2"/>
  <c r="AG95" i="2"/>
  <c r="AH95" i="2"/>
  <c r="AG96" i="2"/>
  <c r="AH96" i="2"/>
  <c r="AG97" i="2"/>
  <c r="AH97" i="2"/>
  <c r="AG98" i="2"/>
  <c r="AH98" i="2"/>
  <c r="AG99" i="2"/>
  <c r="AH99" i="2"/>
  <c r="AG100" i="2"/>
  <c r="AH100" i="2"/>
  <c r="AG101" i="2"/>
  <c r="AH101" i="2"/>
  <c r="AG102" i="2"/>
  <c r="AH102" i="2"/>
  <c r="AG56" i="2"/>
  <c r="AH56" i="2"/>
  <c r="AG57" i="2"/>
  <c r="AH57" i="2"/>
  <c r="AG58" i="2"/>
  <c r="AH58" i="2"/>
  <c r="AA59" i="2"/>
  <c r="AF59" i="2" s="1"/>
  <c r="AA60" i="2"/>
  <c r="AF60" i="2" s="1"/>
  <c r="AA62" i="2"/>
  <c r="AF62" i="2" s="1"/>
  <c r="AA63" i="2"/>
  <c r="AF63" i="2" s="1"/>
  <c r="AA64" i="2"/>
  <c r="AF64" i="2" s="1"/>
  <c r="AA65" i="2"/>
  <c r="AF65" i="2" s="1"/>
  <c r="AA66" i="2"/>
  <c r="AF66" i="2" s="1"/>
  <c r="AA67" i="2"/>
  <c r="AF67" i="2" s="1"/>
  <c r="AA68" i="2"/>
  <c r="AF68" i="2" s="1"/>
  <c r="AA69" i="2"/>
  <c r="AF69" i="2" s="1"/>
  <c r="AA70" i="2"/>
  <c r="AF70" i="2" s="1"/>
  <c r="AA71" i="2"/>
  <c r="AF71" i="2" s="1"/>
  <c r="AA72" i="2"/>
  <c r="AF72" i="2" s="1"/>
  <c r="AA73" i="2"/>
  <c r="AF73" i="2" s="1"/>
  <c r="AA74" i="2"/>
  <c r="AF74" i="2" s="1"/>
  <c r="AA75" i="2"/>
  <c r="AF75" i="2" s="1"/>
  <c r="AA76" i="2"/>
  <c r="AF76" i="2" s="1"/>
  <c r="AA77" i="2"/>
  <c r="AF77" i="2" s="1"/>
  <c r="AA78" i="2"/>
  <c r="AF78" i="2" s="1"/>
  <c r="AA79" i="2"/>
  <c r="AF79" i="2" s="1"/>
  <c r="AA80" i="2"/>
  <c r="AF80" i="2" s="1"/>
  <c r="AA81" i="2"/>
  <c r="AF81" i="2" s="1"/>
  <c r="AA82" i="2"/>
  <c r="AF82" i="2" s="1"/>
  <c r="AA83" i="2"/>
  <c r="AF83" i="2" s="1"/>
  <c r="AA84" i="2"/>
  <c r="AF84" i="2" s="1"/>
  <c r="AA85" i="2"/>
  <c r="AF85" i="2" s="1"/>
  <c r="AA86" i="2"/>
  <c r="AF86" i="2" s="1"/>
  <c r="AA87" i="2"/>
  <c r="AF87" i="2" s="1"/>
  <c r="AA88" i="2"/>
  <c r="AF88" i="2" s="1"/>
  <c r="AA89" i="2"/>
  <c r="AF89" i="2" s="1"/>
  <c r="AA90" i="2"/>
  <c r="AF90" i="2" s="1"/>
  <c r="AA91" i="2"/>
  <c r="AF91" i="2" s="1"/>
  <c r="AA92" i="2"/>
  <c r="AF92" i="2" s="1"/>
  <c r="AA93" i="2"/>
  <c r="AF93" i="2" s="1"/>
  <c r="AA94" i="2"/>
  <c r="AF94" i="2" s="1"/>
  <c r="AA95" i="2"/>
  <c r="AF95" i="2" s="1"/>
  <c r="AA96" i="2"/>
  <c r="AF96" i="2" s="1"/>
  <c r="AA97" i="2"/>
  <c r="AF97" i="2" s="1"/>
  <c r="AA98" i="2"/>
  <c r="AF98" i="2" s="1"/>
  <c r="AA99" i="2"/>
  <c r="AF99" i="2" s="1"/>
  <c r="AA100" i="2"/>
  <c r="AF100" i="2" s="1"/>
  <c r="AA101" i="2"/>
  <c r="AF101" i="2" s="1"/>
  <c r="AA102" i="2"/>
  <c r="AF102" i="2" s="1"/>
  <c r="R62" i="2"/>
  <c r="S62" i="2"/>
  <c r="T62" i="2"/>
  <c r="R63" i="2"/>
  <c r="S63" i="2"/>
  <c r="T63" i="2"/>
  <c r="R65" i="2"/>
  <c r="S65" i="2"/>
  <c r="T65" i="2"/>
  <c r="R66" i="2"/>
  <c r="S66" i="2"/>
  <c r="T66" i="2"/>
  <c r="R67" i="2"/>
  <c r="S67" i="2"/>
  <c r="T67" i="2"/>
  <c r="R68" i="2"/>
  <c r="S68" i="2"/>
  <c r="T68" i="2"/>
  <c r="R69" i="2"/>
  <c r="S69" i="2"/>
  <c r="T69" i="2"/>
  <c r="R70" i="2"/>
  <c r="S70" i="2"/>
  <c r="T70" i="2"/>
  <c r="R71" i="2"/>
  <c r="S71" i="2"/>
  <c r="T71" i="2"/>
  <c r="R72" i="2"/>
  <c r="S72" i="2"/>
  <c r="T72" i="2"/>
  <c r="R73" i="2"/>
  <c r="S73" i="2"/>
  <c r="T73" i="2"/>
  <c r="R74" i="2"/>
  <c r="S74" i="2"/>
  <c r="T74" i="2"/>
  <c r="R75" i="2"/>
  <c r="S75" i="2"/>
  <c r="T75" i="2"/>
  <c r="R76" i="2"/>
  <c r="S76" i="2"/>
  <c r="T76" i="2"/>
  <c r="R77" i="2"/>
  <c r="S77" i="2"/>
  <c r="T77" i="2"/>
  <c r="R78" i="2"/>
  <c r="S78" i="2"/>
  <c r="T78" i="2"/>
  <c r="R79" i="2"/>
  <c r="S79" i="2"/>
  <c r="T79" i="2"/>
  <c r="R80" i="2"/>
  <c r="S80" i="2"/>
  <c r="T80" i="2"/>
  <c r="R81" i="2"/>
  <c r="S81" i="2"/>
  <c r="T81" i="2"/>
  <c r="R82" i="2"/>
  <c r="S82" i="2"/>
  <c r="T82" i="2"/>
  <c r="R83" i="2"/>
  <c r="S83" i="2"/>
  <c r="T83" i="2"/>
  <c r="R84" i="2"/>
  <c r="S84" i="2"/>
  <c r="T84" i="2"/>
  <c r="R85" i="2"/>
  <c r="S85" i="2"/>
  <c r="T85" i="2"/>
  <c r="R86" i="2"/>
  <c r="S86" i="2"/>
  <c r="T86" i="2"/>
  <c r="R87" i="2"/>
  <c r="S87" i="2"/>
  <c r="T87" i="2"/>
  <c r="R88" i="2"/>
  <c r="S88" i="2"/>
  <c r="T88" i="2"/>
  <c r="R89" i="2"/>
  <c r="S89" i="2"/>
  <c r="T89" i="2"/>
  <c r="R90" i="2"/>
  <c r="S90" i="2"/>
  <c r="T90" i="2"/>
  <c r="R91" i="2"/>
  <c r="S91" i="2"/>
  <c r="T91" i="2"/>
  <c r="R92" i="2"/>
  <c r="S92" i="2"/>
  <c r="T92" i="2"/>
  <c r="R93" i="2"/>
  <c r="S93" i="2"/>
  <c r="T93" i="2"/>
  <c r="R94" i="2"/>
  <c r="S94" i="2"/>
  <c r="T94" i="2"/>
  <c r="R95" i="2"/>
  <c r="S95" i="2"/>
  <c r="T95" i="2"/>
  <c r="R96" i="2"/>
  <c r="S96" i="2"/>
  <c r="T96" i="2"/>
  <c r="R97" i="2"/>
  <c r="S97" i="2"/>
  <c r="T97" i="2"/>
  <c r="R98" i="2"/>
  <c r="S98" i="2"/>
  <c r="T98" i="2"/>
  <c r="R99" i="2"/>
  <c r="S99" i="2"/>
  <c r="T99" i="2"/>
  <c r="R100" i="2"/>
  <c r="S100" i="2"/>
  <c r="T100" i="2"/>
  <c r="R101" i="2"/>
  <c r="S101" i="2"/>
  <c r="T101" i="2"/>
  <c r="R102" i="2"/>
  <c r="S102" i="2"/>
  <c r="T102" i="2"/>
  <c r="J4" i="2"/>
  <c r="I4" i="2" s="1"/>
  <c r="K4" i="2" s="1"/>
  <c r="J5" i="2"/>
  <c r="I5" i="2" s="1"/>
  <c r="K5" i="2" s="1"/>
  <c r="J6" i="2"/>
  <c r="I6" i="2" s="1"/>
  <c r="K6" i="2" s="1"/>
  <c r="J7" i="2"/>
  <c r="I7" i="2" s="1"/>
  <c r="K7" i="2" s="1"/>
  <c r="J8" i="2"/>
  <c r="I8" i="2" s="1"/>
  <c r="K8" i="2" s="1"/>
  <c r="J9" i="2"/>
  <c r="I9" i="2" s="1"/>
  <c r="K9" i="2" s="1"/>
  <c r="J10" i="2"/>
  <c r="I10" i="2" s="1"/>
  <c r="K10" i="2" s="1"/>
  <c r="J11" i="2"/>
  <c r="I11" i="2" s="1"/>
  <c r="K11" i="2" s="1"/>
  <c r="J12" i="2"/>
  <c r="I12" i="2" s="1"/>
  <c r="K12" i="2" s="1"/>
  <c r="J13" i="2"/>
  <c r="I13" i="2" s="1"/>
  <c r="K13" i="2" s="1"/>
  <c r="J14" i="2"/>
  <c r="I14" i="2" s="1"/>
  <c r="K14" i="2" s="1"/>
  <c r="J15" i="2"/>
  <c r="I15" i="2" s="1"/>
  <c r="K15" i="2" s="1"/>
  <c r="J16" i="2"/>
  <c r="I16" i="2" s="1"/>
  <c r="K16" i="2" s="1"/>
  <c r="J17" i="2"/>
  <c r="I17" i="2" s="1"/>
  <c r="K17" i="2" s="1"/>
  <c r="J18" i="2"/>
  <c r="I18" i="2" s="1"/>
  <c r="K18" i="2" s="1"/>
  <c r="J19" i="2"/>
  <c r="I19" i="2" s="1"/>
  <c r="K19" i="2" s="1"/>
  <c r="J20" i="2"/>
  <c r="I20" i="2" s="1"/>
  <c r="K20" i="2" s="1"/>
  <c r="J21" i="2"/>
  <c r="I21" i="2" s="1"/>
  <c r="K21" i="2" s="1"/>
  <c r="J22" i="2"/>
  <c r="I22" i="2" s="1"/>
  <c r="K22" i="2" s="1"/>
  <c r="J23" i="2"/>
  <c r="I23" i="2" s="1"/>
  <c r="K23" i="2" s="1"/>
  <c r="J24" i="2"/>
  <c r="I24" i="2" s="1"/>
  <c r="K24" i="2" s="1"/>
  <c r="J25" i="2"/>
  <c r="I25" i="2" s="1"/>
  <c r="K25" i="2" s="1"/>
  <c r="J26" i="2"/>
  <c r="I26" i="2" s="1"/>
  <c r="K26" i="2" s="1"/>
  <c r="J27" i="2"/>
  <c r="I27" i="2" s="1"/>
  <c r="K27" i="2" s="1"/>
  <c r="J28" i="2"/>
  <c r="I28" i="2" s="1"/>
  <c r="K28" i="2" s="1"/>
  <c r="J29" i="2"/>
  <c r="I29" i="2" s="1"/>
  <c r="K29" i="2" s="1"/>
  <c r="J30" i="2"/>
  <c r="I30" i="2" s="1"/>
  <c r="K30" i="2" s="1"/>
  <c r="J31" i="2"/>
  <c r="I31" i="2" s="1"/>
  <c r="K31" i="2" s="1"/>
  <c r="J32" i="2"/>
  <c r="I32" i="2" s="1"/>
  <c r="K32" i="2" s="1"/>
  <c r="J33" i="2"/>
  <c r="I33" i="2" s="1"/>
  <c r="K33" i="2" s="1"/>
  <c r="J34" i="2"/>
  <c r="I34" i="2" s="1"/>
  <c r="K34" i="2" s="1"/>
  <c r="J35" i="2"/>
  <c r="I35" i="2" s="1"/>
  <c r="J36" i="2"/>
  <c r="I36" i="2" s="1"/>
  <c r="K36" i="2" s="1"/>
  <c r="J37" i="2"/>
  <c r="I37" i="2" s="1"/>
  <c r="K37" i="2" s="1"/>
  <c r="J38" i="2"/>
  <c r="I38" i="2" s="1"/>
  <c r="K38" i="2" s="1"/>
  <c r="J39" i="2"/>
  <c r="I39" i="2" s="1"/>
  <c r="K39" i="2" s="1"/>
  <c r="J40" i="2"/>
  <c r="I40" i="2" s="1"/>
  <c r="K40" i="2" s="1"/>
  <c r="J41" i="2"/>
  <c r="I41" i="2" s="1"/>
  <c r="K41" i="2" s="1"/>
  <c r="J42" i="2"/>
  <c r="I42" i="2" s="1"/>
  <c r="K42" i="2" s="1"/>
  <c r="J43" i="2"/>
  <c r="I43" i="2" s="1"/>
  <c r="K43" i="2" s="1"/>
  <c r="J44" i="2"/>
  <c r="I44" i="2" s="1"/>
  <c r="K44" i="2" s="1"/>
  <c r="J45" i="2"/>
  <c r="I45" i="2" s="1"/>
  <c r="K45" i="2" s="1"/>
  <c r="J46" i="2"/>
  <c r="I46" i="2" s="1"/>
  <c r="K46" i="2" s="1"/>
  <c r="J47" i="2"/>
  <c r="I47" i="2" s="1"/>
  <c r="K47" i="2" s="1"/>
  <c r="J48" i="2"/>
  <c r="I48" i="2" s="1"/>
  <c r="K48" i="2" s="1"/>
  <c r="J49" i="2"/>
  <c r="I49" i="2" s="1"/>
  <c r="K49" i="2" s="1"/>
  <c r="J50" i="2"/>
  <c r="I50" i="2" s="1"/>
  <c r="K50" i="2" s="1"/>
  <c r="J51" i="2"/>
  <c r="I51" i="2" s="1"/>
  <c r="K51" i="2" s="1"/>
  <c r="J52" i="2"/>
  <c r="I52" i="2" s="1"/>
  <c r="K52" i="2" s="1"/>
  <c r="J53" i="2"/>
  <c r="I53" i="2" s="1"/>
  <c r="K53" i="2" s="1"/>
  <c r="J54" i="2"/>
  <c r="I54" i="2" s="1"/>
  <c r="K54" i="2" s="1"/>
  <c r="J55" i="2"/>
  <c r="I55" i="2" s="1"/>
  <c r="K55" i="2" s="1"/>
  <c r="J56" i="2"/>
  <c r="I56" i="2" s="1"/>
  <c r="J57" i="2"/>
  <c r="I57" i="2" s="1"/>
  <c r="J58" i="2"/>
  <c r="I58" i="2" s="1"/>
  <c r="I59" i="2"/>
  <c r="T59" i="2" s="1"/>
  <c r="J59" i="2"/>
  <c r="J60" i="2"/>
  <c r="I60" i="2" s="1"/>
  <c r="J61" i="2"/>
  <c r="I61" i="2" s="1"/>
  <c r="I62" i="2"/>
  <c r="J62" i="2"/>
  <c r="K62" i="2"/>
  <c r="P62" i="2" s="1"/>
  <c r="L62" i="2"/>
  <c r="I63" i="2"/>
  <c r="J63" i="2"/>
  <c r="K63" i="2"/>
  <c r="P63" i="2" s="1"/>
  <c r="L63" i="2"/>
  <c r="I64" i="2"/>
  <c r="T64" i="2" s="1"/>
  <c r="J64" i="2"/>
  <c r="I65" i="2"/>
  <c r="J65" i="2"/>
  <c r="K65" i="2"/>
  <c r="P65" i="2" s="1"/>
  <c r="L65" i="2"/>
  <c r="I66" i="2"/>
  <c r="J66" i="2"/>
  <c r="K66" i="2"/>
  <c r="P66" i="2" s="1"/>
  <c r="L66" i="2"/>
  <c r="I67" i="2"/>
  <c r="J67" i="2"/>
  <c r="K67" i="2"/>
  <c r="P67" i="2" s="1"/>
  <c r="L67" i="2"/>
  <c r="I68" i="2"/>
  <c r="J68" i="2"/>
  <c r="K68" i="2"/>
  <c r="P68" i="2" s="1"/>
  <c r="L68" i="2"/>
  <c r="I69" i="2"/>
  <c r="J69" i="2"/>
  <c r="K69" i="2"/>
  <c r="P69" i="2" s="1"/>
  <c r="L69" i="2"/>
  <c r="I70" i="2"/>
  <c r="J70" i="2"/>
  <c r="K70" i="2"/>
  <c r="P70" i="2" s="1"/>
  <c r="L70" i="2"/>
  <c r="I71" i="2"/>
  <c r="J71" i="2"/>
  <c r="K71" i="2"/>
  <c r="P71" i="2" s="1"/>
  <c r="L71" i="2"/>
  <c r="I72" i="2"/>
  <c r="J72" i="2"/>
  <c r="K72" i="2"/>
  <c r="P72" i="2" s="1"/>
  <c r="L72" i="2"/>
  <c r="I73" i="2"/>
  <c r="J73" i="2"/>
  <c r="K73" i="2"/>
  <c r="P73" i="2" s="1"/>
  <c r="L73" i="2"/>
  <c r="I74" i="2"/>
  <c r="J74" i="2"/>
  <c r="K74" i="2"/>
  <c r="P74" i="2" s="1"/>
  <c r="L74" i="2"/>
  <c r="I75" i="2"/>
  <c r="J75" i="2"/>
  <c r="K75" i="2"/>
  <c r="P75" i="2" s="1"/>
  <c r="L75" i="2"/>
  <c r="I76" i="2"/>
  <c r="J76" i="2"/>
  <c r="K76" i="2"/>
  <c r="P76" i="2" s="1"/>
  <c r="L76" i="2"/>
  <c r="I77" i="2"/>
  <c r="J77" i="2"/>
  <c r="K77" i="2"/>
  <c r="P77" i="2" s="1"/>
  <c r="L77" i="2"/>
  <c r="I78" i="2"/>
  <c r="J78" i="2"/>
  <c r="K78" i="2"/>
  <c r="P78" i="2" s="1"/>
  <c r="L78" i="2"/>
  <c r="I79" i="2"/>
  <c r="J79" i="2"/>
  <c r="K79" i="2"/>
  <c r="P79" i="2" s="1"/>
  <c r="L79" i="2"/>
  <c r="I80" i="2"/>
  <c r="J80" i="2"/>
  <c r="K80" i="2"/>
  <c r="P80" i="2" s="1"/>
  <c r="L80" i="2"/>
  <c r="I81" i="2"/>
  <c r="J81" i="2"/>
  <c r="K81" i="2"/>
  <c r="P81" i="2" s="1"/>
  <c r="L81" i="2"/>
  <c r="I82" i="2"/>
  <c r="J82" i="2"/>
  <c r="K82" i="2"/>
  <c r="P82" i="2" s="1"/>
  <c r="L82" i="2"/>
  <c r="I83" i="2"/>
  <c r="J83" i="2"/>
  <c r="K83" i="2"/>
  <c r="P83" i="2" s="1"/>
  <c r="L83" i="2"/>
  <c r="I84" i="2"/>
  <c r="J84" i="2"/>
  <c r="K84" i="2"/>
  <c r="P84" i="2" s="1"/>
  <c r="L84" i="2"/>
  <c r="I85" i="2"/>
  <c r="J85" i="2"/>
  <c r="K85" i="2"/>
  <c r="P85" i="2" s="1"/>
  <c r="L85" i="2"/>
  <c r="I86" i="2"/>
  <c r="J86" i="2"/>
  <c r="K86" i="2"/>
  <c r="P86" i="2" s="1"/>
  <c r="L86" i="2"/>
  <c r="I87" i="2"/>
  <c r="J87" i="2"/>
  <c r="K87" i="2"/>
  <c r="P87" i="2" s="1"/>
  <c r="L87" i="2"/>
  <c r="I88" i="2"/>
  <c r="J88" i="2"/>
  <c r="K88" i="2"/>
  <c r="P88" i="2" s="1"/>
  <c r="L88" i="2"/>
  <c r="I89" i="2"/>
  <c r="J89" i="2"/>
  <c r="K89" i="2"/>
  <c r="P89" i="2" s="1"/>
  <c r="L89" i="2"/>
  <c r="I90" i="2"/>
  <c r="J90" i="2"/>
  <c r="K90" i="2"/>
  <c r="P90" i="2" s="1"/>
  <c r="L90" i="2"/>
  <c r="I91" i="2"/>
  <c r="J91" i="2"/>
  <c r="K91" i="2"/>
  <c r="P91" i="2" s="1"/>
  <c r="L91" i="2"/>
  <c r="I92" i="2"/>
  <c r="J92" i="2"/>
  <c r="K92" i="2"/>
  <c r="P92" i="2" s="1"/>
  <c r="L92" i="2"/>
  <c r="I93" i="2"/>
  <c r="J93" i="2"/>
  <c r="K93" i="2"/>
  <c r="P93" i="2" s="1"/>
  <c r="L93" i="2"/>
  <c r="I94" i="2"/>
  <c r="J94" i="2"/>
  <c r="K94" i="2"/>
  <c r="P94" i="2" s="1"/>
  <c r="L94" i="2"/>
  <c r="I95" i="2"/>
  <c r="J95" i="2"/>
  <c r="K95" i="2"/>
  <c r="P95" i="2" s="1"/>
  <c r="L95" i="2"/>
  <c r="I96" i="2"/>
  <c r="J96" i="2"/>
  <c r="K96" i="2"/>
  <c r="P96" i="2" s="1"/>
  <c r="L96" i="2"/>
  <c r="I97" i="2"/>
  <c r="J97" i="2"/>
  <c r="K97" i="2"/>
  <c r="P97" i="2" s="1"/>
  <c r="L97" i="2"/>
  <c r="I98" i="2"/>
  <c r="J98" i="2"/>
  <c r="K98" i="2"/>
  <c r="P98" i="2" s="1"/>
  <c r="L98" i="2"/>
  <c r="I99" i="2"/>
  <c r="J99" i="2"/>
  <c r="K99" i="2"/>
  <c r="P99" i="2" s="1"/>
  <c r="L99" i="2"/>
  <c r="I100" i="2"/>
  <c r="J100" i="2"/>
  <c r="K100" i="2"/>
  <c r="P100" i="2" s="1"/>
  <c r="L100" i="2"/>
  <c r="I101" i="2"/>
  <c r="J101" i="2"/>
  <c r="K101" i="2"/>
  <c r="P101" i="2" s="1"/>
  <c r="L101" i="2"/>
  <c r="I102" i="2"/>
  <c r="J102" i="2"/>
  <c r="K102" i="2"/>
  <c r="P102" i="2" s="1"/>
  <c r="L102" i="2"/>
  <c r="J3" i="2"/>
  <c r="I3" i="2" s="1"/>
  <c r="T3" i="2" s="1"/>
  <c r="Y56" i="2"/>
  <c r="Z56" i="2"/>
  <c r="AA56" i="2" s="1"/>
  <c r="AF56" i="2" s="1"/>
  <c r="Y57" i="2"/>
  <c r="Z57" i="2"/>
  <c r="AA57" i="2" s="1"/>
  <c r="AF57" i="2" s="1"/>
  <c r="Y58" i="2"/>
  <c r="Z58" i="2"/>
  <c r="AA58" i="2" s="1"/>
  <c r="AF58" i="2" s="1"/>
  <c r="Y59" i="2"/>
  <c r="Z59" i="2"/>
  <c r="Y60" i="2"/>
  <c r="Z60" i="2"/>
  <c r="Y61" i="2"/>
  <c r="Z61" i="2"/>
  <c r="AA61" i="2" s="1"/>
  <c r="AF61" i="2" s="1"/>
  <c r="Y62" i="2"/>
  <c r="Z62" i="2"/>
  <c r="Y63" i="2"/>
  <c r="Z63" i="2"/>
  <c r="Y64" i="2"/>
  <c r="Z64" i="2"/>
  <c r="Y65" i="2"/>
  <c r="Z65" i="2"/>
  <c r="Y66" i="2"/>
  <c r="Z66" i="2"/>
  <c r="Y67" i="2"/>
  <c r="Z67" i="2"/>
  <c r="Y68" i="2"/>
  <c r="Z68" i="2"/>
  <c r="Y69" i="2"/>
  <c r="Z69" i="2"/>
  <c r="Y70" i="2"/>
  <c r="Z70" i="2"/>
  <c r="Y71" i="2"/>
  <c r="Z71" i="2"/>
  <c r="Y72" i="2"/>
  <c r="Z72" i="2"/>
  <c r="Y73" i="2"/>
  <c r="Z73" i="2"/>
  <c r="Y74" i="2"/>
  <c r="Z74" i="2"/>
  <c r="Y75" i="2"/>
  <c r="Z75" i="2"/>
  <c r="Y76" i="2"/>
  <c r="Z76" i="2"/>
  <c r="Y77" i="2"/>
  <c r="Z77" i="2"/>
  <c r="Y78" i="2"/>
  <c r="Z78" i="2"/>
  <c r="Y79" i="2"/>
  <c r="Z79" i="2"/>
  <c r="Y80" i="2"/>
  <c r="Z80" i="2"/>
  <c r="Y81" i="2"/>
  <c r="Z81" i="2"/>
  <c r="Y82" i="2"/>
  <c r="Z82" i="2"/>
  <c r="Y83" i="2"/>
  <c r="Z83" i="2"/>
  <c r="Y84" i="2"/>
  <c r="Z84" i="2"/>
  <c r="Y85" i="2"/>
  <c r="Z85" i="2"/>
  <c r="Y86" i="2"/>
  <c r="Z86" i="2"/>
  <c r="Y87" i="2"/>
  <c r="Z87" i="2"/>
  <c r="Y88" i="2"/>
  <c r="Z88" i="2"/>
  <c r="Y89" i="2"/>
  <c r="Z89" i="2"/>
  <c r="Y90" i="2"/>
  <c r="Z90" i="2"/>
  <c r="Y91" i="2"/>
  <c r="Z91" i="2"/>
  <c r="Y92" i="2"/>
  <c r="Z92" i="2"/>
  <c r="Y93" i="2"/>
  <c r="Z93" i="2"/>
  <c r="Y94" i="2"/>
  <c r="Z94" i="2"/>
  <c r="Y95" i="2"/>
  <c r="Z95" i="2"/>
  <c r="Y96" i="2"/>
  <c r="Z96" i="2"/>
  <c r="Y97" i="2"/>
  <c r="Z97" i="2"/>
  <c r="Y98" i="2"/>
  <c r="Z98" i="2"/>
  <c r="Y99" i="2"/>
  <c r="Z99" i="2"/>
  <c r="Y100" i="2"/>
  <c r="Z100" i="2"/>
  <c r="Y101" i="2"/>
  <c r="Z101" i="2"/>
  <c r="Y102" i="2"/>
  <c r="Z102" i="2"/>
  <c r="AY2" i="2"/>
  <c r="BB2" i="2" s="1"/>
  <c r="AZ2" i="2"/>
  <c r="AX1" i="2"/>
  <c r="AL5" i="2"/>
  <c r="AM5" i="2" s="1"/>
  <c r="T61" i="2" l="1"/>
  <c r="K61" i="2"/>
  <c r="T60" i="2"/>
  <c r="K60" i="2"/>
  <c r="K59" i="2"/>
  <c r="L55" i="2"/>
  <c r="P55" i="2"/>
  <c r="L51" i="2"/>
  <c r="P51" i="2"/>
  <c r="L47" i="2"/>
  <c r="P47" i="2"/>
  <c r="L43" i="2"/>
  <c r="P43" i="2"/>
  <c r="L39" i="2"/>
  <c r="P39" i="2"/>
  <c r="L31" i="2"/>
  <c r="P31" i="2"/>
  <c r="L27" i="2"/>
  <c r="P27" i="2"/>
  <c r="L23" i="2"/>
  <c r="P23" i="2"/>
  <c r="L19" i="2"/>
  <c r="P19" i="2"/>
  <c r="L15" i="2"/>
  <c r="P15" i="2"/>
  <c r="L11" i="2"/>
  <c r="P11" i="2"/>
  <c r="L7" i="2"/>
  <c r="P7" i="2"/>
  <c r="L54" i="2"/>
  <c r="P54" i="2"/>
  <c r="L50" i="2"/>
  <c r="P50" i="2"/>
  <c r="L46" i="2"/>
  <c r="P46" i="2"/>
  <c r="L42" i="2"/>
  <c r="P42" i="2"/>
  <c r="L38" i="2"/>
  <c r="P38" i="2"/>
  <c r="L34" i="2"/>
  <c r="P34" i="2"/>
  <c r="L30" i="2"/>
  <c r="P30" i="2"/>
  <c r="L26" i="2"/>
  <c r="P26" i="2"/>
  <c r="L22" i="2"/>
  <c r="P22" i="2"/>
  <c r="L18" i="2"/>
  <c r="P18" i="2"/>
  <c r="L14" i="2"/>
  <c r="P14" i="2"/>
  <c r="L10" i="2"/>
  <c r="P10" i="2"/>
  <c r="L6" i="2"/>
  <c r="P6" i="2"/>
  <c r="T4" i="2"/>
  <c r="L53" i="2"/>
  <c r="P53" i="2"/>
  <c r="L49" i="2"/>
  <c r="P49" i="2"/>
  <c r="L45" i="2"/>
  <c r="P45" i="2"/>
  <c r="L41" i="2"/>
  <c r="P41" i="2"/>
  <c r="L37" i="2"/>
  <c r="P37" i="2"/>
  <c r="L33" i="2"/>
  <c r="P33" i="2"/>
  <c r="L29" i="2"/>
  <c r="P29" i="2"/>
  <c r="L25" i="2"/>
  <c r="P25" i="2"/>
  <c r="L21" i="2"/>
  <c r="P21" i="2"/>
  <c r="L17" i="2"/>
  <c r="P17" i="2"/>
  <c r="L13" i="2"/>
  <c r="P13" i="2"/>
  <c r="L9" i="2"/>
  <c r="P9" i="2"/>
  <c r="L5" i="2"/>
  <c r="P5" i="2"/>
  <c r="AW20" i="2"/>
  <c r="AX20" i="2" s="1"/>
  <c r="AZ20" i="2" s="1"/>
  <c r="L52" i="2"/>
  <c r="P52" i="2"/>
  <c r="L48" i="2"/>
  <c r="P48" i="2"/>
  <c r="L44" i="2"/>
  <c r="P44" i="2"/>
  <c r="L40" i="2"/>
  <c r="P40" i="2"/>
  <c r="L36" i="2"/>
  <c r="P36" i="2"/>
  <c r="L32" i="2"/>
  <c r="P32" i="2"/>
  <c r="L28" i="2"/>
  <c r="P28" i="2"/>
  <c r="L24" i="2"/>
  <c r="P24" i="2"/>
  <c r="L20" i="2"/>
  <c r="P20" i="2"/>
  <c r="L16" i="2"/>
  <c r="P16" i="2"/>
  <c r="L12" i="2"/>
  <c r="P12" i="2"/>
  <c r="L8" i="2"/>
  <c r="P8" i="2"/>
  <c r="L4" i="2"/>
  <c r="P4" i="2"/>
  <c r="T24" i="2"/>
  <c r="K56" i="2"/>
  <c r="K64" i="2"/>
  <c r="P64" i="2" s="1"/>
  <c r="AW21" i="2"/>
  <c r="AX21" i="2" s="1"/>
  <c r="AZ21" i="2" s="1"/>
  <c r="K35" i="2"/>
  <c r="T36" i="2"/>
  <c r="T58" i="2"/>
  <c r="K58" i="2"/>
  <c r="T52" i="2"/>
  <c r="T20" i="2"/>
  <c r="T40" i="2"/>
  <c r="T8" i="2"/>
  <c r="T57" i="2"/>
  <c r="K57" i="2"/>
  <c r="T44" i="2"/>
  <c r="T28" i="2"/>
  <c r="T12" i="2"/>
  <c r="T48" i="2"/>
  <c r="T32" i="2"/>
  <c r="T16" i="2"/>
  <c r="T56" i="2"/>
  <c r="BT22" i="2"/>
  <c r="AL22" i="2"/>
  <c r="AO22" i="2" s="1"/>
  <c r="AK22" i="2"/>
  <c r="AL20" i="2"/>
  <c r="AM20" i="2" s="1"/>
  <c r="AK20" i="2"/>
  <c r="AL21" i="2"/>
  <c r="BA21" i="2" s="1"/>
  <c r="BB21" i="2" s="1"/>
  <c r="AK21" i="2"/>
  <c r="AY21" i="2"/>
  <c r="T49" i="2"/>
  <c r="T41" i="2"/>
  <c r="T33" i="2"/>
  <c r="T25" i="2"/>
  <c r="T17" i="2"/>
  <c r="T9" i="2"/>
  <c r="T5" i="2"/>
  <c r="T54" i="2"/>
  <c r="T50" i="2"/>
  <c r="T46" i="2"/>
  <c r="T42" i="2"/>
  <c r="T38" i="2"/>
  <c r="T34" i="2"/>
  <c r="T30" i="2"/>
  <c r="T26" i="2"/>
  <c r="T22" i="2"/>
  <c r="T18" i="2"/>
  <c r="T14" i="2"/>
  <c r="T10" i="2"/>
  <c r="T6" i="2"/>
  <c r="T53" i="2"/>
  <c r="T45" i="2"/>
  <c r="T37" i="2"/>
  <c r="T29" i="2"/>
  <c r="T21" i="2"/>
  <c r="T13" i="2"/>
  <c r="K3" i="2"/>
  <c r="T55" i="2"/>
  <c r="T51" i="2"/>
  <c r="T47" i="2"/>
  <c r="T43" i="2"/>
  <c r="T39" i="2"/>
  <c r="T35" i="2"/>
  <c r="T31" i="2"/>
  <c r="T27" i="2"/>
  <c r="T23" i="2"/>
  <c r="T19" i="2"/>
  <c r="T15" i="2"/>
  <c r="T11" i="2"/>
  <c r="T7" i="2"/>
  <c r="AY20" i="2"/>
  <c r="N98" i="2"/>
  <c r="M98" i="2"/>
  <c r="O98" i="2"/>
  <c r="N90" i="2"/>
  <c r="M90" i="2"/>
  <c r="O90" i="2"/>
  <c r="N74" i="2"/>
  <c r="M74" i="2"/>
  <c r="O74" i="2"/>
  <c r="N102" i="2"/>
  <c r="M102" i="2"/>
  <c r="O102" i="2"/>
  <c r="N94" i="2"/>
  <c r="M94" i="2"/>
  <c r="O94" i="2"/>
  <c r="N86" i="2"/>
  <c r="M86" i="2"/>
  <c r="O86" i="2"/>
  <c r="N78" i="2"/>
  <c r="M78" i="2"/>
  <c r="O78" i="2"/>
  <c r="N70" i="2"/>
  <c r="M70" i="2"/>
  <c r="O70" i="2"/>
  <c r="N82" i="2"/>
  <c r="M82" i="2"/>
  <c r="O82" i="2"/>
  <c r="O64" i="2"/>
  <c r="M64" i="2"/>
  <c r="M60" i="2"/>
  <c r="O60" i="2"/>
  <c r="N60" i="2"/>
  <c r="O65" i="2"/>
  <c r="N65" i="2"/>
  <c r="M65" i="2"/>
  <c r="N61" i="2"/>
  <c r="O101" i="2"/>
  <c r="M101" i="2"/>
  <c r="N101" i="2"/>
  <c r="O97" i="2"/>
  <c r="N97" i="2"/>
  <c r="M97" i="2"/>
  <c r="O93" i="2"/>
  <c r="M93" i="2"/>
  <c r="N93" i="2"/>
  <c r="O89" i="2"/>
  <c r="N89" i="2"/>
  <c r="M89" i="2"/>
  <c r="O85" i="2"/>
  <c r="M85" i="2"/>
  <c r="N85" i="2"/>
  <c r="O81" i="2"/>
  <c r="N81" i="2"/>
  <c r="M81" i="2"/>
  <c r="O77" i="2"/>
  <c r="M77" i="2"/>
  <c r="N77" i="2"/>
  <c r="O73" i="2"/>
  <c r="N73" i="2"/>
  <c r="M73" i="2"/>
  <c r="O69" i="2"/>
  <c r="M69" i="2"/>
  <c r="N69" i="2"/>
  <c r="AO5" i="2"/>
  <c r="AP5" i="2"/>
  <c r="AN5" i="2"/>
  <c r="M61" i="2" l="1"/>
  <c r="O61" i="2"/>
  <c r="P61" i="2"/>
  <c r="S61" i="2" s="1"/>
  <c r="U61" i="2" s="1"/>
  <c r="V61" i="2" s="1"/>
  <c r="W61" i="2" s="1"/>
  <c r="L61" i="2"/>
  <c r="R61" i="2"/>
  <c r="P60" i="2"/>
  <c r="S60" i="2" s="1"/>
  <c r="L60" i="2"/>
  <c r="P59" i="2"/>
  <c r="S59" i="2" s="1"/>
  <c r="L59" i="2"/>
  <c r="R59" i="2"/>
  <c r="P58" i="2"/>
  <c r="M58" i="2"/>
  <c r="O58" i="2"/>
  <c r="N58" i="2"/>
  <c r="M57" i="2"/>
  <c r="N57" i="2"/>
  <c r="P57" i="2"/>
  <c r="O57" i="2"/>
  <c r="P56" i="2"/>
  <c r="O56" i="2"/>
  <c r="N56" i="2"/>
  <c r="M56" i="2"/>
  <c r="P3" i="2"/>
  <c r="S3" i="2" s="1"/>
  <c r="M3" i="2"/>
  <c r="L35" i="2"/>
  <c r="P35" i="2"/>
  <c r="L56" i="2"/>
  <c r="L64" i="2"/>
  <c r="N64" i="2"/>
  <c r="S64" i="2" s="1"/>
  <c r="U64" i="2" s="1"/>
  <c r="V64" i="2" s="1"/>
  <c r="W64" i="2" s="1"/>
  <c r="S57" i="2"/>
  <c r="L58" i="2"/>
  <c r="L57" i="2"/>
  <c r="AQ5" i="2"/>
  <c r="AR5" i="2" s="1"/>
  <c r="AT5" i="2" s="1"/>
  <c r="AN22" i="2"/>
  <c r="AN21" i="2"/>
  <c r="BA22" i="2"/>
  <c r="BB22" i="2" s="1"/>
  <c r="AM22" i="2"/>
  <c r="AP22" i="2"/>
  <c r="AO20" i="2"/>
  <c r="AN20" i="2"/>
  <c r="AP20" i="2"/>
  <c r="BA20" i="2"/>
  <c r="BB20" i="2" s="1"/>
  <c r="AO21" i="2"/>
  <c r="AM21" i="2"/>
  <c r="AP21" i="2"/>
  <c r="L3" i="2"/>
  <c r="AV5" i="2"/>
  <c r="U102" i="2"/>
  <c r="V102" i="2" s="1"/>
  <c r="W102" i="2" s="1"/>
  <c r="U86" i="2"/>
  <c r="V86" i="2" s="1"/>
  <c r="U81" i="2"/>
  <c r="V81" i="2" s="1"/>
  <c r="W81" i="2" s="1"/>
  <c r="U97" i="2"/>
  <c r="V97" i="2" s="1"/>
  <c r="W97" i="2" s="1"/>
  <c r="U70" i="2"/>
  <c r="V70" i="2" s="1"/>
  <c r="W70" i="2" s="1"/>
  <c r="O88" i="2"/>
  <c r="N88" i="2"/>
  <c r="M88" i="2"/>
  <c r="M75" i="2"/>
  <c r="O75" i="2"/>
  <c r="N75" i="2"/>
  <c r="M91" i="2"/>
  <c r="O91" i="2"/>
  <c r="N91" i="2"/>
  <c r="N76" i="2"/>
  <c r="O76" i="2"/>
  <c r="M76" i="2"/>
  <c r="O80" i="2"/>
  <c r="N80" i="2"/>
  <c r="M80" i="2"/>
  <c r="O96" i="2"/>
  <c r="N96" i="2"/>
  <c r="M96" i="2"/>
  <c r="N62" i="2"/>
  <c r="M62" i="2"/>
  <c r="O62" i="2"/>
  <c r="N66" i="2"/>
  <c r="O66" i="2"/>
  <c r="M66" i="2"/>
  <c r="M59" i="2"/>
  <c r="N59" i="2"/>
  <c r="O59" i="2"/>
  <c r="M63" i="2"/>
  <c r="O63" i="2"/>
  <c r="N63" i="2"/>
  <c r="M67" i="2"/>
  <c r="O67" i="2"/>
  <c r="N67" i="2"/>
  <c r="O72" i="2"/>
  <c r="N72" i="2"/>
  <c r="M72" i="2"/>
  <c r="M83" i="2"/>
  <c r="O83" i="2"/>
  <c r="N83" i="2"/>
  <c r="M99" i="2"/>
  <c r="O99" i="2"/>
  <c r="N99" i="2"/>
  <c r="N92" i="2"/>
  <c r="O92" i="2"/>
  <c r="M92" i="2"/>
  <c r="M71" i="2"/>
  <c r="O71" i="2"/>
  <c r="N71" i="2"/>
  <c r="M79" i="2"/>
  <c r="O79" i="2"/>
  <c r="N79" i="2"/>
  <c r="M87" i="2"/>
  <c r="O87" i="2"/>
  <c r="N87" i="2"/>
  <c r="M95" i="2"/>
  <c r="O95" i="2"/>
  <c r="N95" i="2"/>
  <c r="N68" i="2"/>
  <c r="O68" i="2"/>
  <c r="M68" i="2"/>
  <c r="N84" i="2"/>
  <c r="O84" i="2"/>
  <c r="M84" i="2"/>
  <c r="N100" i="2"/>
  <c r="O100" i="2"/>
  <c r="M100" i="2"/>
  <c r="R60" i="2" l="1"/>
  <c r="AU5" i="2"/>
  <c r="S56" i="2"/>
  <c r="R56" i="2"/>
  <c r="R64" i="2"/>
  <c r="AD64" i="2" s="1"/>
  <c r="AS5" i="2"/>
  <c r="AQ21" i="2"/>
  <c r="R57" i="2"/>
  <c r="AQ22" i="2"/>
  <c r="AQ20" i="2"/>
  <c r="AE70" i="2"/>
  <c r="AD70" i="2"/>
  <c r="AE102" i="2"/>
  <c r="AD102" i="2"/>
  <c r="AE81" i="2"/>
  <c r="AD81" i="2"/>
  <c r="AE61" i="2"/>
  <c r="AD61" i="2"/>
  <c r="AE97" i="2"/>
  <c r="AD97" i="2"/>
  <c r="AW5" i="2"/>
  <c r="W86" i="2"/>
  <c r="U90" i="2"/>
  <c r="V90" i="2" s="1"/>
  <c r="W90" i="2" s="1"/>
  <c r="U65" i="2"/>
  <c r="V65" i="2" s="1"/>
  <c r="W65" i="2" s="1"/>
  <c r="U62" i="2"/>
  <c r="V62" i="2" s="1"/>
  <c r="W62" i="2" s="1"/>
  <c r="U92" i="2"/>
  <c r="V92" i="2" s="1"/>
  <c r="W92" i="2" s="1"/>
  <c r="U87" i="2"/>
  <c r="V87" i="2" s="1"/>
  <c r="W87" i="2" s="1"/>
  <c r="U76" i="2"/>
  <c r="V76" i="2" s="1"/>
  <c r="W76" i="2" s="1"/>
  <c r="U88" i="2"/>
  <c r="V88" i="2" s="1"/>
  <c r="W88" i="2" s="1"/>
  <c r="U56" i="2" l="1"/>
  <c r="V56" i="2" s="1"/>
  <c r="W56" i="2" s="1"/>
  <c r="AE64" i="2"/>
  <c r="AX5" i="2"/>
  <c r="AZ5" i="2" s="1"/>
  <c r="BA5" i="2" s="1"/>
  <c r="BB5" i="2" s="1"/>
  <c r="S58" i="2"/>
  <c r="U58" i="2" s="1"/>
  <c r="V58" i="2" s="1"/>
  <c r="W58" i="2" s="1"/>
  <c r="R58" i="2"/>
  <c r="AE62" i="2"/>
  <c r="AD62" i="2"/>
  <c r="AE88" i="2"/>
  <c r="AD88" i="2"/>
  <c r="AE90" i="2"/>
  <c r="AD90" i="2"/>
  <c r="AE86" i="2"/>
  <c r="AD86" i="2"/>
  <c r="AE87" i="2"/>
  <c r="AD87" i="2"/>
  <c r="AE65" i="2"/>
  <c r="AD65" i="2"/>
  <c r="AE76" i="2"/>
  <c r="AD76" i="2"/>
  <c r="AE92" i="2"/>
  <c r="AD92" i="2"/>
  <c r="U57" i="2"/>
  <c r="V57" i="2" s="1"/>
  <c r="W57" i="2" s="1"/>
  <c r="U89" i="2"/>
  <c r="V89" i="2" s="1"/>
  <c r="W89" i="2" s="1"/>
  <c r="U82" i="2"/>
  <c r="V82" i="2" s="1"/>
  <c r="W82" i="2" s="1"/>
  <c r="U60" i="2"/>
  <c r="V60" i="2" s="1"/>
  <c r="W60" i="2" s="1"/>
  <c r="U85" i="2"/>
  <c r="V85" i="2" s="1"/>
  <c r="W85" i="2" s="1"/>
  <c r="U78" i="2"/>
  <c r="V78" i="2" s="1"/>
  <c r="W78" i="2" s="1"/>
  <c r="U101" i="2"/>
  <c r="V101" i="2" s="1"/>
  <c r="W101" i="2" s="1"/>
  <c r="U74" i="2"/>
  <c r="V74" i="2" s="1"/>
  <c r="W74" i="2" s="1"/>
  <c r="U77" i="2"/>
  <c r="V77" i="2" s="1"/>
  <c r="W77" i="2" s="1"/>
  <c r="U93" i="2"/>
  <c r="V93" i="2" s="1"/>
  <c r="W93" i="2" s="1"/>
  <c r="U94" i="2"/>
  <c r="V94" i="2" s="1"/>
  <c r="W94" i="2" s="1"/>
  <c r="U73" i="2"/>
  <c r="V73" i="2" s="1"/>
  <c r="W73" i="2" s="1"/>
  <c r="U98" i="2"/>
  <c r="V98" i="2" s="1"/>
  <c r="W98" i="2" s="1"/>
  <c r="U69" i="2"/>
  <c r="V69" i="2" s="1"/>
  <c r="W69" i="2" s="1"/>
  <c r="U99" i="2"/>
  <c r="V99" i="2" s="1"/>
  <c r="W99" i="2" s="1"/>
  <c r="U96" i="2"/>
  <c r="V96" i="2" s="1"/>
  <c r="W96" i="2" s="1"/>
  <c r="U71" i="2"/>
  <c r="V71" i="2" s="1"/>
  <c r="W71" i="2" s="1"/>
  <c r="U63" i="2"/>
  <c r="V63" i="2" s="1"/>
  <c r="W63" i="2" s="1"/>
  <c r="AE56" i="2" l="1"/>
  <c r="AD56" i="2"/>
  <c r="AY5" i="2"/>
  <c r="AE77" i="2"/>
  <c r="AD77" i="2"/>
  <c r="AE82" i="2"/>
  <c r="AD82" i="2"/>
  <c r="AE73" i="2"/>
  <c r="AD73" i="2"/>
  <c r="AE101" i="2"/>
  <c r="AD101" i="2"/>
  <c r="AE57" i="2"/>
  <c r="AD57" i="2"/>
  <c r="AE96" i="2"/>
  <c r="AD96" i="2"/>
  <c r="AE60" i="2"/>
  <c r="AD60" i="2"/>
  <c r="AE98" i="2"/>
  <c r="AD98" i="2"/>
  <c r="AE94" i="2"/>
  <c r="AD94" i="2"/>
  <c r="AE74" i="2"/>
  <c r="AD74" i="2"/>
  <c r="AE85" i="2"/>
  <c r="AD85" i="2"/>
  <c r="AE63" i="2"/>
  <c r="AD63" i="2"/>
  <c r="AE69" i="2"/>
  <c r="AD69" i="2"/>
  <c r="AE58" i="2"/>
  <c r="AD58" i="2"/>
  <c r="AE78" i="2"/>
  <c r="AD78" i="2"/>
  <c r="AE99" i="2"/>
  <c r="AD99" i="2"/>
  <c r="AE93" i="2"/>
  <c r="AD93" i="2"/>
  <c r="AE71" i="2"/>
  <c r="AD71" i="2"/>
  <c r="AE89" i="2"/>
  <c r="AD89" i="2"/>
  <c r="U59" i="2"/>
  <c r="V59" i="2" s="1"/>
  <c r="W59" i="2" s="1"/>
  <c r="U75" i="2"/>
  <c r="V75" i="2" s="1"/>
  <c r="W75" i="2" s="1"/>
  <c r="U83" i="2"/>
  <c r="V83" i="2" s="1"/>
  <c r="W83" i="2" s="1"/>
  <c r="U84" i="2"/>
  <c r="V84" i="2" s="1"/>
  <c r="W84" i="2" s="1"/>
  <c r="U67" i="2"/>
  <c r="V67" i="2" s="1"/>
  <c r="W67" i="2" s="1"/>
  <c r="U95" i="2"/>
  <c r="V95" i="2" s="1"/>
  <c r="W95" i="2" s="1"/>
  <c r="U79" i="2"/>
  <c r="V79" i="2" s="1"/>
  <c r="W79" i="2" s="1"/>
  <c r="U66" i="2"/>
  <c r="V66" i="2" s="1"/>
  <c r="W66" i="2" s="1"/>
  <c r="U91" i="2"/>
  <c r="V91" i="2" s="1"/>
  <c r="W91" i="2" s="1"/>
  <c r="U100" i="2"/>
  <c r="V100" i="2" s="1"/>
  <c r="W100" i="2" s="1"/>
  <c r="U68" i="2"/>
  <c r="V68" i="2" s="1"/>
  <c r="W68" i="2" s="1"/>
  <c r="U80" i="2"/>
  <c r="V80" i="2" s="1"/>
  <c r="W80" i="2" s="1"/>
  <c r="U72" i="2"/>
  <c r="V72" i="2" s="1"/>
  <c r="W72" i="2" s="1"/>
  <c r="AE95" i="2" l="1"/>
  <c r="AD95" i="2"/>
  <c r="AE100" i="2"/>
  <c r="AD100" i="2"/>
  <c r="AE84" i="2"/>
  <c r="AD84" i="2"/>
  <c r="AE68" i="2"/>
  <c r="AD68" i="2"/>
  <c r="AE67" i="2"/>
  <c r="AD67" i="2"/>
  <c r="AE80" i="2"/>
  <c r="AD80" i="2"/>
  <c r="AE91" i="2"/>
  <c r="AD91" i="2"/>
  <c r="AE72" i="2"/>
  <c r="AD72" i="2"/>
  <c r="AE83" i="2"/>
  <c r="AD83" i="2"/>
  <c r="AE79" i="2"/>
  <c r="AD79" i="2"/>
  <c r="AE59" i="2"/>
  <c r="AD59" i="2"/>
  <c r="AE66" i="2"/>
  <c r="AD66" i="2"/>
  <c r="AE75" i="2"/>
  <c r="AD75" i="2"/>
  <c r="BZ4" i="2" l="1"/>
  <c r="BZ5" i="2"/>
  <c r="BZ6" i="2"/>
  <c r="BZ7" i="2"/>
  <c r="BZ8" i="2"/>
  <c r="BZ9" i="2"/>
  <c r="BZ10" i="2"/>
  <c r="BZ11" i="2"/>
  <c r="BZ12" i="2"/>
  <c r="BZ13" i="2"/>
  <c r="BZ14" i="2"/>
  <c r="BZ15" i="2"/>
  <c r="BZ16" i="2"/>
  <c r="BZ3" i="2"/>
  <c r="BZ2" i="2"/>
  <c r="F24" i="1"/>
  <c r="BX2" i="2"/>
  <c r="BJ20" i="2"/>
  <c r="H24" i="1" l="1"/>
  <c r="Q24" i="1"/>
  <c r="N10" i="2"/>
  <c r="N14" i="2"/>
  <c r="BL2" i="2"/>
  <c r="BL20" i="2"/>
  <c r="BM20" i="2" s="1"/>
  <c r="BN20" i="2" s="1"/>
  <c r="BH2" i="2"/>
  <c r="BG2" i="2"/>
  <c r="AJ4" i="2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L17" i="2"/>
  <c r="AL18" i="2"/>
  <c r="AL19" i="2"/>
  <c r="AK12" i="2"/>
  <c r="AL9" i="2"/>
  <c r="AL11" i="2"/>
  <c r="AL12" i="2"/>
  <c r="AL13" i="2"/>
  <c r="AL14" i="2"/>
  <c r="AL15" i="2"/>
  <c r="AL16" i="2"/>
  <c r="AL8" i="2"/>
  <c r="AL6" i="2"/>
  <c r="AL7" i="2"/>
  <c r="AL4" i="2"/>
  <c r="AL3" i="2"/>
  <c r="AK8" i="2"/>
  <c r="AK4" i="2"/>
  <c r="AK3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3" i="2"/>
  <c r="AG3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4" i="2"/>
  <c r="AG5" i="2"/>
  <c r="AG6" i="2"/>
  <c r="AG7" i="2"/>
  <c r="AG8" i="2"/>
  <c r="AC82" i="2"/>
  <c r="AC83" i="2" s="1"/>
  <c r="AC84" i="2" s="1"/>
  <c r="AC85" i="2" s="1"/>
  <c r="AC86" i="2" s="1"/>
  <c r="AC87" i="2" s="1"/>
  <c r="AC88" i="2" s="1"/>
  <c r="AC89" i="2" s="1"/>
  <c r="AC90" i="2" s="1"/>
  <c r="AC91" i="2" s="1"/>
  <c r="AC92" i="2" s="1"/>
  <c r="AC93" i="2" s="1"/>
  <c r="AC94" i="2" s="1"/>
  <c r="AC95" i="2" s="1"/>
  <c r="AC96" i="2" s="1"/>
  <c r="AC97" i="2" s="1"/>
  <c r="AC98" i="2" s="1"/>
  <c r="AC99" i="2" s="1"/>
  <c r="AC100" i="2" s="1"/>
  <c r="AC101" i="2" s="1"/>
  <c r="AC102" i="2" s="1"/>
  <c r="M4" i="2"/>
  <c r="Z3" i="2"/>
  <c r="AA3" i="2" s="1"/>
  <c r="BU20" i="2" l="1"/>
  <c r="G23" i="1" s="1"/>
  <c r="BS20" i="2"/>
  <c r="BR20" i="2"/>
  <c r="BQ20" i="2"/>
  <c r="Q23" i="1" s="1"/>
  <c r="H23" i="1"/>
  <c r="BT20" i="2"/>
  <c r="F23" i="1" s="1"/>
  <c r="S4" i="2"/>
  <c r="U4" i="2" s="1"/>
  <c r="R4" i="2"/>
  <c r="AJ21" i="2"/>
  <c r="BD20" i="2"/>
  <c r="AM16" i="2"/>
  <c r="AP16" i="2"/>
  <c r="AO16" i="2"/>
  <c r="AN16" i="2"/>
  <c r="AM12" i="2"/>
  <c r="AN12" i="2"/>
  <c r="AP12" i="2"/>
  <c r="AO12" i="2"/>
  <c r="AN3" i="2"/>
  <c r="AQ3" i="2" s="1"/>
  <c r="AO3" i="2"/>
  <c r="AP3" i="2"/>
  <c r="AM8" i="2"/>
  <c r="AN8" i="2"/>
  <c r="AP8" i="2"/>
  <c r="AO8" i="2"/>
  <c r="AM13" i="2"/>
  <c r="AN13" i="2"/>
  <c r="AP13" i="2"/>
  <c r="AO13" i="2"/>
  <c r="AM9" i="2"/>
  <c r="AN9" i="2"/>
  <c r="AP9" i="2"/>
  <c r="AO9" i="2"/>
  <c r="AM17" i="2"/>
  <c r="AN17" i="2"/>
  <c r="AO17" i="2"/>
  <c r="AP17" i="2"/>
  <c r="AO6" i="2"/>
  <c r="AN6" i="2"/>
  <c r="AP6" i="2"/>
  <c r="AM14" i="2"/>
  <c r="AO14" i="2"/>
  <c r="AP14" i="2"/>
  <c r="AN14" i="2"/>
  <c r="AM10" i="2"/>
  <c r="AO10" i="2"/>
  <c r="AN10" i="2"/>
  <c r="AP10" i="2"/>
  <c r="AM18" i="2"/>
  <c r="AO18" i="2"/>
  <c r="AN18" i="2"/>
  <c r="AP18" i="2"/>
  <c r="AP4" i="2"/>
  <c r="AO4" i="2"/>
  <c r="AN4" i="2"/>
  <c r="AQ4" i="2" s="1"/>
  <c r="AP7" i="2"/>
  <c r="AO7" i="2"/>
  <c r="AN7" i="2"/>
  <c r="AM15" i="2"/>
  <c r="AP15" i="2"/>
  <c r="AO15" i="2"/>
  <c r="AN15" i="2"/>
  <c r="AM11" i="2"/>
  <c r="AP11" i="2"/>
  <c r="AO11" i="2"/>
  <c r="AN11" i="2"/>
  <c r="AM19" i="2"/>
  <c r="BA19" i="2" s="1"/>
  <c r="BB19" i="2" s="1"/>
  <c r="AP19" i="2"/>
  <c r="AO19" i="2"/>
  <c r="AN19" i="2"/>
  <c r="BD6" i="2"/>
  <c r="AM6" i="2"/>
  <c r="BD4" i="2"/>
  <c r="AM4" i="2"/>
  <c r="BD3" i="2"/>
  <c r="AM3" i="2"/>
  <c r="BD7" i="2"/>
  <c r="AM7" i="2"/>
  <c r="O17" i="2"/>
  <c r="N12" i="2"/>
  <c r="N51" i="2"/>
  <c r="N19" i="2"/>
  <c r="N18" i="2"/>
  <c r="N55" i="2"/>
  <c r="N39" i="2"/>
  <c r="N31" i="2"/>
  <c r="N27" i="2"/>
  <c r="N23" i="2"/>
  <c r="N11" i="2"/>
  <c r="N35" i="2"/>
  <c r="BD5" i="2"/>
  <c r="BD19" i="2"/>
  <c r="BD8" i="2"/>
  <c r="BD13" i="2"/>
  <c r="BD9" i="2"/>
  <c r="BD17" i="2"/>
  <c r="BD14" i="2"/>
  <c r="BD10" i="2"/>
  <c r="BD18" i="2"/>
  <c r="BD15" i="2"/>
  <c r="BD11" i="2"/>
  <c r="BD16" i="2"/>
  <c r="BD12" i="2"/>
  <c r="N17" i="2"/>
  <c r="O52" i="2"/>
  <c r="M52" i="2"/>
  <c r="N52" i="2"/>
  <c r="O44" i="2"/>
  <c r="N44" i="2"/>
  <c r="M44" i="2"/>
  <c r="O36" i="2"/>
  <c r="N36" i="2"/>
  <c r="M36" i="2"/>
  <c r="O28" i="2"/>
  <c r="N28" i="2"/>
  <c r="M28" i="2"/>
  <c r="O20" i="2"/>
  <c r="N20" i="2"/>
  <c r="M20" i="2"/>
  <c r="O48" i="2"/>
  <c r="N48" i="2"/>
  <c r="M48" i="2"/>
  <c r="O40" i="2"/>
  <c r="N40" i="2"/>
  <c r="M40" i="2"/>
  <c r="O32" i="2"/>
  <c r="O24" i="2"/>
  <c r="N24" i="2"/>
  <c r="M24" i="2"/>
  <c r="O55" i="2"/>
  <c r="O51" i="2"/>
  <c r="M49" i="2"/>
  <c r="O43" i="2"/>
  <c r="O39" i="2"/>
  <c r="M37" i="2"/>
  <c r="O31" i="2"/>
  <c r="M29" i="2"/>
  <c r="O23" i="2"/>
  <c r="M21" i="2"/>
  <c r="O19" i="2"/>
  <c r="N53" i="2"/>
  <c r="N49" i="2"/>
  <c r="N45" i="2"/>
  <c r="N41" i="2"/>
  <c r="N37" i="2"/>
  <c r="N33" i="2"/>
  <c r="N29" i="2"/>
  <c r="N25" i="2"/>
  <c r="N21" i="2"/>
  <c r="N4" i="2"/>
  <c r="M55" i="2"/>
  <c r="O53" i="2"/>
  <c r="M51" i="2"/>
  <c r="O49" i="2"/>
  <c r="M47" i="2"/>
  <c r="O45" i="2"/>
  <c r="O41" i="2"/>
  <c r="M39" i="2"/>
  <c r="O37" i="2"/>
  <c r="M35" i="2"/>
  <c r="O33" i="2"/>
  <c r="M31" i="2"/>
  <c r="O29" i="2"/>
  <c r="M27" i="2"/>
  <c r="O25" i="2"/>
  <c r="M23" i="2"/>
  <c r="O21" i="2"/>
  <c r="M19" i="2"/>
  <c r="M12" i="2"/>
  <c r="M53" i="2"/>
  <c r="O47" i="2"/>
  <c r="M45" i="2"/>
  <c r="M41" i="2"/>
  <c r="O35" i="2"/>
  <c r="M33" i="2"/>
  <c r="O27" i="2"/>
  <c r="M25" i="2"/>
  <c r="M9" i="2"/>
  <c r="O9" i="2"/>
  <c r="M6" i="2"/>
  <c r="O6" i="2"/>
  <c r="N16" i="2"/>
  <c r="M16" i="2"/>
  <c r="O16" i="2"/>
  <c r="O8" i="2"/>
  <c r="N8" i="2"/>
  <c r="M8" i="2"/>
  <c r="O18" i="2"/>
  <c r="O10" i="2"/>
  <c r="M11" i="2"/>
  <c r="M7" i="2"/>
  <c r="M18" i="2"/>
  <c r="N15" i="2"/>
  <c r="M14" i="2"/>
  <c r="O12" i="2"/>
  <c r="M10" i="2"/>
  <c r="N7" i="2"/>
  <c r="O4" i="2"/>
  <c r="O14" i="2"/>
  <c r="M15" i="2"/>
  <c r="M17" i="2"/>
  <c r="O15" i="2"/>
  <c r="O11" i="2"/>
  <c r="O7" i="2"/>
  <c r="S35" i="2" l="1"/>
  <c r="BD21" i="2"/>
  <c r="AJ22" i="2"/>
  <c r="BD22" i="2" s="1"/>
  <c r="R39" i="2"/>
  <c r="S41" i="2"/>
  <c r="U41" i="2" s="1"/>
  <c r="V41" i="2" s="1"/>
  <c r="W41" i="2" s="1"/>
  <c r="R40" i="2"/>
  <c r="R16" i="2"/>
  <c r="R37" i="2"/>
  <c r="R20" i="2"/>
  <c r="S31" i="2"/>
  <c r="U31" i="2" s="1"/>
  <c r="V31" i="2" s="1"/>
  <c r="W31" i="2" s="1"/>
  <c r="R28" i="2"/>
  <c r="R51" i="2"/>
  <c r="S8" i="2"/>
  <c r="U8" i="2" s="1"/>
  <c r="V8" i="2" s="1"/>
  <c r="R8" i="2"/>
  <c r="S47" i="2"/>
  <c r="R47" i="2"/>
  <c r="S15" i="2"/>
  <c r="U15" i="2" s="1"/>
  <c r="V15" i="2" s="1"/>
  <c r="W15" i="2" s="1"/>
  <c r="R15" i="2"/>
  <c r="R18" i="2"/>
  <c r="S18" i="2"/>
  <c r="U18" i="2" s="1"/>
  <c r="V18" i="2" s="1"/>
  <c r="W18" i="2" s="1"/>
  <c r="S19" i="2"/>
  <c r="U19" i="2" s="1"/>
  <c r="V19" i="2" s="1"/>
  <c r="W19" i="2" s="1"/>
  <c r="R19" i="2"/>
  <c r="R35" i="2"/>
  <c r="S17" i="2"/>
  <c r="U17" i="2" s="1"/>
  <c r="V17" i="2" s="1"/>
  <c r="R17" i="2"/>
  <c r="R25" i="2"/>
  <c r="S25" i="2"/>
  <c r="U25" i="2" s="1"/>
  <c r="V25" i="2" s="1"/>
  <c r="W25" i="2" s="1"/>
  <c r="S24" i="2"/>
  <c r="U24" i="2" s="1"/>
  <c r="V24" i="2" s="1"/>
  <c r="W24" i="2" s="1"/>
  <c r="R24" i="2"/>
  <c r="E23" i="1"/>
  <c r="S7" i="2"/>
  <c r="R7" i="2"/>
  <c r="S33" i="2"/>
  <c r="U33" i="2" s="1"/>
  <c r="V33" i="2" s="1"/>
  <c r="W33" i="2" s="1"/>
  <c r="R33" i="2"/>
  <c r="S55" i="2"/>
  <c r="U55" i="2" s="1"/>
  <c r="V55" i="2" s="1"/>
  <c r="W55" i="2" s="1"/>
  <c r="R55" i="2"/>
  <c r="S21" i="2"/>
  <c r="U21" i="2" s="1"/>
  <c r="V21" i="2" s="1"/>
  <c r="W21" i="2" s="1"/>
  <c r="R21" i="2"/>
  <c r="R10" i="2"/>
  <c r="S10" i="2"/>
  <c r="U10" i="2" s="1"/>
  <c r="V10" i="2" s="1"/>
  <c r="W10" i="2" s="1"/>
  <c r="R6" i="2"/>
  <c r="S6" i="2"/>
  <c r="R45" i="2"/>
  <c r="S45" i="2"/>
  <c r="U45" i="2" s="1"/>
  <c r="V45" i="2" s="1"/>
  <c r="W45" i="2" s="1"/>
  <c r="S14" i="2"/>
  <c r="U14" i="2" s="1"/>
  <c r="V14" i="2" s="1"/>
  <c r="W14" i="2" s="1"/>
  <c r="R14" i="2"/>
  <c r="S11" i="2"/>
  <c r="U11" i="2" s="1"/>
  <c r="V11" i="2" s="1"/>
  <c r="W11" i="2" s="1"/>
  <c r="R11" i="2"/>
  <c r="R9" i="2"/>
  <c r="S9" i="2"/>
  <c r="S23" i="2"/>
  <c r="R23" i="2"/>
  <c r="S48" i="2"/>
  <c r="R48" i="2"/>
  <c r="S44" i="2"/>
  <c r="R44" i="2"/>
  <c r="S52" i="2"/>
  <c r="R52" i="2"/>
  <c r="AR4" i="2"/>
  <c r="AS4" i="2" s="1"/>
  <c r="AQ18" i="2"/>
  <c r="AR18" i="2" s="1"/>
  <c r="AT18" i="2" s="1"/>
  <c r="AQ10" i="2"/>
  <c r="AR10" i="2" s="1"/>
  <c r="AU10" i="2" s="1"/>
  <c r="AQ6" i="2"/>
  <c r="AR6" i="2" s="1"/>
  <c r="AS6" i="2" s="1"/>
  <c r="AQ17" i="2"/>
  <c r="AR17" i="2" s="1"/>
  <c r="AV17" i="2" s="1"/>
  <c r="AQ9" i="2"/>
  <c r="AR9" i="2" s="1"/>
  <c r="AV9" i="2" s="1"/>
  <c r="AQ13" i="2"/>
  <c r="AR13" i="2" s="1"/>
  <c r="AV13" i="2" s="1"/>
  <c r="AQ8" i="2"/>
  <c r="AR8" i="2" s="1"/>
  <c r="AS8" i="2" s="1"/>
  <c r="AR3" i="2"/>
  <c r="AS3" i="2" s="1"/>
  <c r="AQ12" i="2"/>
  <c r="AR12" i="2" s="1"/>
  <c r="AQ14" i="2"/>
  <c r="AR14" i="2" s="1"/>
  <c r="AQ19" i="2"/>
  <c r="AR19" i="2" s="1"/>
  <c r="AQ11" i="2"/>
  <c r="AR11" i="2" s="1"/>
  <c r="AQ15" i="2"/>
  <c r="AR15" i="2" s="1"/>
  <c r="AQ7" i="2"/>
  <c r="AR7" i="2" s="1"/>
  <c r="AQ16" i="2"/>
  <c r="AR16" i="2" s="1"/>
  <c r="N43" i="2"/>
  <c r="N47" i="2"/>
  <c r="N13" i="2"/>
  <c r="V4" i="2"/>
  <c r="W4" i="2" s="1"/>
  <c r="O5" i="2"/>
  <c r="N5" i="2"/>
  <c r="M43" i="2"/>
  <c r="N32" i="2"/>
  <c r="M5" i="2"/>
  <c r="N9" i="2"/>
  <c r="M32" i="2"/>
  <c r="N3" i="2"/>
  <c r="O3" i="2"/>
  <c r="N6" i="2"/>
  <c r="M50" i="2"/>
  <c r="N50" i="2"/>
  <c r="O50" i="2"/>
  <c r="M22" i="2"/>
  <c r="N22" i="2"/>
  <c r="O22" i="2"/>
  <c r="M30" i="2"/>
  <c r="N30" i="2"/>
  <c r="O30" i="2"/>
  <c r="M34" i="2"/>
  <c r="O34" i="2"/>
  <c r="N34" i="2"/>
  <c r="M38" i="2"/>
  <c r="N38" i="2"/>
  <c r="O38" i="2"/>
  <c r="M13" i="2"/>
  <c r="O13" i="2"/>
  <c r="M54" i="2"/>
  <c r="O54" i="2"/>
  <c r="N54" i="2"/>
  <c r="M26" i="2"/>
  <c r="O26" i="2"/>
  <c r="N26" i="2"/>
  <c r="M42" i="2"/>
  <c r="O42" i="2"/>
  <c r="N42" i="2"/>
  <c r="M46" i="2"/>
  <c r="O46" i="2"/>
  <c r="N46" i="2"/>
  <c r="BE12" i="2" l="1"/>
  <c r="BH12" i="2" s="1"/>
  <c r="AD25" i="2"/>
  <c r="BE14" i="2"/>
  <c r="BH14" i="2" s="1"/>
  <c r="R31" i="2"/>
  <c r="AE31" i="2" s="1"/>
  <c r="S16" i="2"/>
  <c r="U16" i="2" s="1"/>
  <c r="V16" i="2" s="1"/>
  <c r="W16" i="2" s="1"/>
  <c r="AD16" i="2" s="1"/>
  <c r="S40" i="2"/>
  <c r="BE11" i="2"/>
  <c r="BG11" i="2" s="1"/>
  <c r="BE6" i="2"/>
  <c r="BG6" i="2" s="1"/>
  <c r="BE13" i="2"/>
  <c r="BG13" i="2" s="1"/>
  <c r="BE16" i="2"/>
  <c r="BG16" i="2" s="1"/>
  <c r="BE19" i="2"/>
  <c r="BG19" i="2" s="1"/>
  <c r="BP19" i="2" s="1"/>
  <c r="BE15" i="2"/>
  <c r="BH15" i="2" s="1"/>
  <c r="BE18" i="2"/>
  <c r="BH18" i="2" s="1"/>
  <c r="BJ18" i="2" s="1"/>
  <c r="BE8" i="2"/>
  <c r="BH8" i="2" s="1"/>
  <c r="BE9" i="2"/>
  <c r="BH9" i="2" s="1"/>
  <c r="BI9" i="2" s="1"/>
  <c r="BJ9" i="2" s="1"/>
  <c r="BK9" i="2" s="1"/>
  <c r="BE7" i="2"/>
  <c r="BH7" i="2" s="1"/>
  <c r="BI7" i="2" s="1"/>
  <c r="BE4" i="2"/>
  <c r="BH4" i="2" s="1"/>
  <c r="BI4" i="2" s="1"/>
  <c r="BE10" i="2"/>
  <c r="BG10" i="2" s="1"/>
  <c r="BE17" i="2"/>
  <c r="BH17" i="2" s="1"/>
  <c r="BE20" i="2"/>
  <c r="S39" i="2"/>
  <c r="U39" i="2" s="1"/>
  <c r="V39" i="2" s="1"/>
  <c r="W39" i="2" s="1"/>
  <c r="AD39" i="2" s="1"/>
  <c r="BE21" i="2"/>
  <c r="BE5" i="2"/>
  <c r="BG5" i="2" s="1"/>
  <c r="BE3" i="2"/>
  <c r="BH3" i="2" s="1"/>
  <c r="BE22" i="2"/>
  <c r="U35" i="2"/>
  <c r="V35" i="2" s="1"/>
  <c r="W35" i="2" s="1"/>
  <c r="S37" i="2"/>
  <c r="U37" i="2" s="1"/>
  <c r="V37" i="2" s="1"/>
  <c r="W37" i="2" s="1"/>
  <c r="AE37" i="2" s="1"/>
  <c r="AD15" i="2"/>
  <c r="R42" i="2"/>
  <c r="AD10" i="2"/>
  <c r="R41" i="2"/>
  <c r="AD41" i="2" s="1"/>
  <c r="AS13" i="2"/>
  <c r="AT6" i="2"/>
  <c r="W17" i="2"/>
  <c r="AE17" i="2" s="1"/>
  <c r="AD55" i="2"/>
  <c r="S51" i="2"/>
  <c r="U51" i="2" s="1"/>
  <c r="V51" i="2" s="1"/>
  <c r="W51" i="2" s="1"/>
  <c r="AE51" i="2" s="1"/>
  <c r="S20" i="2"/>
  <c r="U20" i="2" s="1"/>
  <c r="V20" i="2" s="1"/>
  <c r="W20" i="2" s="1"/>
  <c r="AE20" i="2" s="1"/>
  <c r="S28" i="2"/>
  <c r="U28" i="2" s="1"/>
  <c r="V28" i="2" s="1"/>
  <c r="W28" i="2" s="1"/>
  <c r="AD28" i="2" s="1"/>
  <c r="AD37" i="2"/>
  <c r="AD31" i="2"/>
  <c r="AT17" i="2"/>
  <c r="AS18" i="2"/>
  <c r="AV8" i="2"/>
  <c r="AU6" i="2"/>
  <c r="AU3" i="2"/>
  <c r="AV3" i="2"/>
  <c r="AU17" i="2"/>
  <c r="AU4" i="2"/>
  <c r="AV4" i="2"/>
  <c r="AT8" i="2"/>
  <c r="AT13" i="2"/>
  <c r="AU8" i="2"/>
  <c r="AV6" i="2"/>
  <c r="AT3" i="2"/>
  <c r="AS17" i="2"/>
  <c r="AT4" i="2"/>
  <c r="AS10" i="2"/>
  <c r="AT9" i="2"/>
  <c r="AV10" i="2"/>
  <c r="BG12" i="2"/>
  <c r="S32" i="2"/>
  <c r="U32" i="2" s="1"/>
  <c r="V32" i="2" s="1"/>
  <c r="W32" i="2" s="1"/>
  <c r="R32" i="2"/>
  <c r="S49" i="2"/>
  <c r="R49" i="2"/>
  <c r="S46" i="2"/>
  <c r="U46" i="2" s="1"/>
  <c r="V46" i="2" s="1"/>
  <c r="W46" i="2" s="1"/>
  <c r="R46" i="2"/>
  <c r="S13" i="2"/>
  <c r="U13" i="2" s="1"/>
  <c r="V13" i="2" s="1"/>
  <c r="W13" i="2" s="1"/>
  <c r="R13" i="2"/>
  <c r="R22" i="2"/>
  <c r="S22" i="2"/>
  <c r="U22" i="2" s="1"/>
  <c r="V22" i="2" s="1"/>
  <c r="W22" i="2" s="1"/>
  <c r="S53" i="2"/>
  <c r="U53" i="2" s="1"/>
  <c r="V53" i="2" s="1"/>
  <c r="W53" i="2" s="1"/>
  <c r="R53" i="2"/>
  <c r="U3" i="2"/>
  <c r="V3" i="2" s="1"/>
  <c r="W3" i="2" s="1"/>
  <c r="R3" i="2"/>
  <c r="S12" i="2"/>
  <c r="R12" i="2"/>
  <c r="AS9" i="2"/>
  <c r="W8" i="2"/>
  <c r="AE8" i="2" s="1"/>
  <c r="AU13" i="2"/>
  <c r="AT10" i="2"/>
  <c r="AU9" i="2"/>
  <c r="AV18" i="2"/>
  <c r="S5" i="2"/>
  <c r="U5" i="2" s="1"/>
  <c r="V5" i="2" s="1"/>
  <c r="W5" i="2" s="1"/>
  <c r="R5" i="2"/>
  <c r="R34" i="2"/>
  <c r="S34" i="2"/>
  <c r="S36" i="2"/>
  <c r="U36" i="2" s="1"/>
  <c r="V36" i="2" s="1"/>
  <c r="W36" i="2" s="1"/>
  <c r="R36" i="2"/>
  <c r="S27" i="2"/>
  <c r="U27" i="2" s="1"/>
  <c r="V27" i="2" s="1"/>
  <c r="W27" i="2" s="1"/>
  <c r="R27" i="2"/>
  <c r="S29" i="2"/>
  <c r="R29" i="2"/>
  <c r="R54" i="2"/>
  <c r="S54" i="2"/>
  <c r="U54" i="2" s="1"/>
  <c r="V54" i="2" s="1"/>
  <c r="W54" i="2" s="1"/>
  <c r="S43" i="2"/>
  <c r="R43" i="2"/>
  <c r="AU18" i="2"/>
  <c r="AD45" i="2"/>
  <c r="AV15" i="2"/>
  <c r="AS15" i="2"/>
  <c r="AU15" i="2"/>
  <c r="AT15" i="2"/>
  <c r="AS12" i="2"/>
  <c r="AV12" i="2"/>
  <c r="AU12" i="2"/>
  <c r="AT12" i="2"/>
  <c r="AV7" i="2"/>
  <c r="AS7" i="2"/>
  <c r="AU7" i="2"/>
  <c r="AT7" i="2"/>
  <c r="AS14" i="2"/>
  <c r="AU14" i="2"/>
  <c r="AT14" i="2"/>
  <c r="AV14" i="2"/>
  <c r="AS16" i="2"/>
  <c r="AV16" i="2"/>
  <c r="AU16" i="2"/>
  <c r="AT16" i="2"/>
  <c r="AV19" i="2"/>
  <c r="AU19" i="2"/>
  <c r="AT19" i="2"/>
  <c r="AS19" i="2"/>
  <c r="AV11" i="2"/>
  <c r="AU11" i="2"/>
  <c r="AT11" i="2"/>
  <c r="AS11" i="2"/>
  <c r="AE11" i="2"/>
  <c r="AD11" i="2"/>
  <c r="AD18" i="2"/>
  <c r="AD14" i="2"/>
  <c r="AE10" i="2"/>
  <c r="AE15" i="2"/>
  <c r="AD21" i="2"/>
  <c r="AD33" i="2"/>
  <c r="AE4" i="2"/>
  <c r="AD4" i="2"/>
  <c r="AD19" i="2"/>
  <c r="AD24" i="2"/>
  <c r="AE18" i="2"/>
  <c r="AE45" i="2"/>
  <c r="AE21" i="2"/>
  <c r="AE33" i="2"/>
  <c r="AE24" i="2"/>
  <c r="AE14" i="2"/>
  <c r="AE55" i="2"/>
  <c r="AE19" i="2"/>
  <c r="U6" i="2"/>
  <c r="V6" i="2" s="1"/>
  <c r="W6" i="2" s="1"/>
  <c r="AD6" i="2" s="1"/>
  <c r="AE25" i="2"/>
  <c r="U40" i="2"/>
  <c r="V40" i="2" s="1"/>
  <c r="W40" i="2" s="1"/>
  <c r="AD40" i="2" s="1"/>
  <c r="U23" i="2"/>
  <c r="V23" i="2" s="1"/>
  <c r="W23" i="2" s="1"/>
  <c r="AD23" i="2" s="1"/>
  <c r="U48" i="2"/>
  <c r="V48" i="2" s="1"/>
  <c r="W48" i="2" s="1"/>
  <c r="AD48" i="2" s="1"/>
  <c r="U44" i="2"/>
  <c r="V44" i="2" s="1"/>
  <c r="W44" i="2" s="1"/>
  <c r="AD44" i="2" s="1"/>
  <c r="U7" i="2"/>
  <c r="V7" i="2" s="1"/>
  <c r="W7" i="2" s="1"/>
  <c r="AD7" i="2" s="1"/>
  <c r="U47" i="2"/>
  <c r="V47" i="2" s="1"/>
  <c r="W47" i="2" s="1"/>
  <c r="AD47" i="2" s="1"/>
  <c r="U52" i="2"/>
  <c r="V52" i="2" s="1"/>
  <c r="W52" i="2" s="1"/>
  <c r="AD52" i="2" s="1"/>
  <c r="U9" i="2"/>
  <c r="V9" i="2" s="1"/>
  <c r="W9" i="2" s="1"/>
  <c r="AD9" i="2" s="1"/>
  <c r="BH16" i="2" l="1"/>
  <c r="BI16" i="2" s="1"/>
  <c r="BJ16" i="2" s="1"/>
  <c r="BK16" i="2" s="1"/>
  <c r="BG14" i="2"/>
  <c r="BP14" i="2" s="1"/>
  <c r="BG8" i="2"/>
  <c r="BH10" i="2"/>
  <c r="BI10" i="2" s="1"/>
  <c r="BJ10" i="2" s="1"/>
  <c r="BK10" i="2" s="1"/>
  <c r="BG18" i="2"/>
  <c r="BP18" i="2" s="1"/>
  <c r="BG4" i="2"/>
  <c r="BP4" i="2" s="1"/>
  <c r="BH13" i="2"/>
  <c r="BI13" i="2" s="1"/>
  <c r="BH6" i="2"/>
  <c r="BI6" i="2" s="1"/>
  <c r="AD32" i="2"/>
  <c r="AD8" i="2"/>
  <c r="AD51" i="2"/>
  <c r="S42" i="2"/>
  <c r="U42" i="2" s="1"/>
  <c r="V42" i="2" s="1"/>
  <c r="W42" i="2" s="1"/>
  <c r="AD42" i="2" s="1"/>
  <c r="BG15" i="2"/>
  <c r="BP15" i="2" s="1"/>
  <c r="BG9" i="2"/>
  <c r="BP9" i="2" s="1"/>
  <c r="BG3" i="2"/>
  <c r="BP3" i="2" s="1"/>
  <c r="BH11" i="2"/>
  <c r="BI11" i="2" s="1"/>
  <c r="BG17" i="2"/>
  <c r="BP17" i="2" s="1"/>
  <c r="BH5" i="2"/>
  <c r="BI5" i="2" s="1"/>
  <c r="BJ5" i="2" s="1"/>
  <c r="BH19" i="2"/>
  <c r="BJ19" i="2" s="1"/>
  <c r="BK19" i="2" s="1"/>
  <c r="BG7" i="2"/>
  <c r="BP7" i="2" s="1"/>
  <c r="AD35" i="2"/>
  <c r="AE35" i="2"/>
  <c r="AE41" i="2"/>
  <c r="AD20" i="2"/>
  <c r="AD17" i="2"/>
  <c r="BI8" i="2"/>
  <c r="BJ8" i="2" s="1"/>
  <c r="AW6" i="2"/>
  <c r="AX6" i="2" s="1"/>
  <c r="AZ6" i="2" s="1"/>
  <c r="BA6" i="2" s="1"/>
  <c r="BB6" i="2" s="1"/>
  <c r="AD5" i="2"/>
  <c r="AD13" i="2"/>
  <c r="AD36" i="2"/>
  <c r="AD54" i="2"/>
  <c r="AW3" i="2"/>
  <c r="AX3" i="2" s="1"/>
  <c r="AZ3" i="2" s="1"/>
  <c r="BA3" i="2" s="1"/>
  <c r="BB3" i="2" s="1"/>
  <c r="AW17" i="2"/>
  <c r="AX17" i="2" s="1"/>
  <c r="AW18" i="2"/>
  <c r="AX18" i="2" s="1"/>
  <c r="AY18" i="2" s="1"/>
  <c r="AW8" i="2"/>
  <c r="AX8" i="2" s="1"/>
  <c r="AZ8" i="2" s="1"/>
  <c r="BA8" i="2" s="1"/>
  <c r="BB8" i="2" s="1"/>
  <c r="BL18" i="2"/>
  <c r="BK18" i="2"/>
  <c r="BI3" i="2"/>
  <c r="BJ3" i="2" s="1"/>
  <c r="AW10" i="2"/>
  <c r="AX10" i="2" s="1"/>
  <c r="AY10" i="2" s="1"/>
  <c r="AW4" i="2"/>
  <c r="AX4" i="2" s="1"/>
  <c r="AZ4" i="2" s="1"/>
  <c r="BA4" i="2" s="1"/>
  <c r="BB4" i="2" s="1"/>
  <c r="AW13" i="2"/>
  <c r="AX13" i="2" s="1"/>
  <c r="AY13" i="2" s="1"/>
  <c r="AW9" i="2"/>
  <c r="AX9" i="2" s="1"/>
  <c r="AZ9" i="2" s="1"/>
  <c r="BA9" i="2" s="1"/>
  <c r="BB9" i="2" s="1"/>
  <c r="BP5" i="2"/>
  <c r="BP16" i="2"/>
  <c r="BP13" i="2"/>
  <c r="BP12" i="2"/>
  <c r="R50" i="2"/>
  <c r="S50" i="2"/>
  <c r="R26" i="2"/>
  <c r="S26" i="2"/>
  <c r="R38" i="2"/>
  <c r="S38" i="2"/>
  <c r="AD27" i="2"/>
  <c r="AW12" i="2"/>
  <c r="AX12" i="2" s="1"/>
  <c r="AZ12" i="2" s="1"/>
  <c r="BA12" i="2" s="1"/>
  <c r="BB12" i="2" s="1"/>
  <c r="AW15" i="2"/>
  <c r="AX15" i="2" s="1"/>
  <c r="BP11" i="2"/>
  <c r="S30" i="2"/>
  <c r="R30" i="2"/>
  <c r="BP10" i="2"/>
  <c r="BP6" i="2"/>
  <c r="BP8" i="2"/>
  <c r="AW11" i="2"/>
  <c r="AX11" i="2" s="1"/>
  <c r="AW14" i="2"/>
  <c r="AX14" i="2" s="1"/>
  <c r="AW19" i="2"/>
  <c r="AX19" i="2" s="1"/>
  <c r="AW16" i="2"/>
  <c r="AX16" i="2" s="1"/>
  <c r="AW7" i="2"/>
  <c r="AX7" i="2" s="1"/>
  <c r="AD46" i="2"/>
  <c r="AD53" i="2"/>
  <c r="AD22" i="2"/>
  <c r="AD3" i="2"/>
  <c r="BJ7" i="2"/>
  <c r="BJ11" i="2"/>
  <c r="BJ4" i="2"/>
  <c r="BL9" i="2"/>
  <c r="AE9" i="2"/>
  <c r="AE47" i="2"/>
  <c r="AE16" i="2"/>
  <c r="AE44" i="2"/>
  <c r="AE22" i="2"/>
  <c r="AE5" i="2"/>
  <c r="AE54" i="2"/>
  <c r="AE28" i="2"/>
  <c r="AE27" i="2"/>
  <c r="AE52" i="2"/>
  <c r="AE7" i="2"/>
  <c r="AE36" i="2"/>
  <c r="AE46" i="2"/>
  <c r="AE23" i="2"/>
  <c r="AE6" i="2"/>
  <c r="U29" i="2"/>
  <c r="V29" i="2" s="1"/>
  <c r="W29" i="2" s="1"/>
  <c r="AD29" i="2" s="1"/>
  <c r="U43" i="2"/>
  <c r="V43" i="2" s="1"/>
  <c r="W43" i="2" s="1"/>
  <c r="AD43" i="2" s="1"/>
  <c r="AE13" i="2"/>
  <c r="U12" i="2"/>
  <c r="V12" i="2" s="1"/>
  <c r="W12" i="2" s="1"/>
  <c r="AD12" i="2" s="1"/>
  <c r="AE53" i="2"/>
  <c r="AE39" i="2"/>
  <c r="AE32" i="2"/>
  <c r="AE48" i="2"/>
  <c r="AE40" i="2"/>
  <c r="U49" i="2"/>
  <c r="V49" i="2" s="1"/>
  <c r="W49" i="2" s="1"/>
  <c r="AD49" i="2" s="1"/>
  <c r="U34" i="2"/>
  <c r="V34" i="2" s="1"/>
  <c r="W34" i="2" s="1"/>
  <c r="AD34" i="2" s="1"/>
  <c r="AE3" i="2"/>
  <c r="BI15" i="2"/>
  <c r="BJ15" i="2" s="1"/>
  <c r="BK15" i="2" s="1"/>
  <c r="BI14" i="2"/>
  <c r="BI12" i="2"/>
  <c r="BJ12" i="2" s="1"/>
  <c r="BK12" i="2" s="1"/>
  <c r="BI17" i="2"/>
  <c r="BL16" i="2" l="1"/>
  <c r="BM18" i="2"/>
  <c r="BN18" i="2" s="1"/>
  <c r="BL19" i="2"/>
  <c r="BM19" i="2" s="1"/>
  <c r="BN19" i="2" s="1"/>
  <c r="BK8" i="2"/>
  <c r="AY6" i="2"/>
  <c r="AY3" i="2"/>
  <c r="AY17" i="2"/>
  <c r="AZ17" i="2"/>
  <c r="BA17" i="2" s="1"/>
  <c r="BB17" i="2" s="1"/>
  <c r="AY8" i="2"/>
  <c r="AZ13" i="2"/>
  <c r="AZ18" i="2"/>
  <c r="BA18" i="2" s="1"/>
  <c r="BB18" i="2" s="1"/>
  <c r="AY9" i="2"/>
  <c r="BK3" i="2"/>
  <c r="BL3" i="2"/>
  <c r="BL4" i="2"/>
  <c r="BK4" i="2"/>
  <c r="BL5" i="2"/>
  <c r="BK5" i="2"/>
  <c r="BL11" i="2"/>
  <c r="BK11" i="2"/>
  <c r="BL7" i="2"/>
  <c r="BK7" i="2"/>
  <c r="AY4" i="2"/>
  <c r="AY12" i="2"/>
  <c r="AZ10" i="2"/>
  <c r="AZ15" i="2"/>
  <c r="BA15" i="2" s="1"/>
  <c r="BB15" i="2" s="1"/>
  <c r="AY15" i="2"/>
  <c r="AY19" i="2"/>
  <c r="AZ19" i="2"/>
  <c r="AZ16" i="2"/>
  <c r="BA16" i="2" s="1"/>
  <c r="BB16" i="2" s="1"/>
  <c r="AY16" i="2"/>
  <c r="AZ7" i="2"/>
  <c r="BA7" i="2" s="1"/>
  <c r="BB7" i="2" s="1"/>
  <c r="AY7" i="2"/>
  <c r="AY11" i="2"/>
  <c r="AZ11" i="2"/>
  <c r="AY14" i="2"/>
  <c r="AZ14" i="2"/>
  <c r="BA14" i="2" s="1"/>
  <c r="BB14" i="2" s="1"/>
  <c r="BJ17" i="2"/>
  <c r="BJ13" i="2"/>
  <c r="BL10" i="2"/>
  <c r="BJ6" i="2"/>
  <c r="BJ14" i="2"/>
  <c r="AE34" i="2"/>
  <c r="AE49" i="2"/>
  <c r="AE29" i="2"/>
  <c r="AE42" i="2"/>
  <c r="AE43" i="2"/>
  <c r="U30" i="2"/>
  <c r="V30" i="2" s="1"/>
  <c r="W30" i="2" s="1"/>
  <c r="AD30" i="2" s="1"/>
  <c r="AE12" i="2"/>
  <c r="U50" i="2"/>
  <c r="V50" i="2" s="1"/>
  <c r="W50" i="2" s="1"/>
  <c r="AD50" i="2" s="1"/>
  <c r="U26" i="2"/>
  <c r="V26" i="2" s="1"/>
  <c r="W26" i="2" s="1"/>
  <c r="AD26" i="2" s="1"/>
  <c r="U38" i="2"/>
  <c r="V38" i="2" s="1"/>
  <c r="W38" i="2" s="1"/>
  <c r="AD38" i="2" s="1"/>
  <c r="BL12" i="2"/>
  <c r="BL15" i="2"/>
  <c r="Z4" i="2"/>
  <c r="AA4" i="2" s="1"/>
  <c r="Z5" i="2"/>
  <c r="Z6" i="2"/>
  <c r="Z7" i="2"/>
  <c r="Z8" i="2"/>
  <c r="Z9" i="2"/>
  <c r="Z10" i="2"/>
  <c r="Z11" i="2"/>
  <c r="AA11" i="2" s="1"/>
  <c r="AF11" i="2" s="1"/>
  <c r="Z12" i="2"/>
  <c r="Z13" i="2"/>
  <c r="Z14" i="2"/>
  <c r="Z15" i="2"/>
  <c r="Z16" i="2"/>
  <c r="Z17" i="2"/>
  <c r="Z18" i="2"/>
  <c r="Z19" i="2"/>
  <c r="Z20" i="2"/>
  <c r="Z21" i="2"/>
  <c r="Z22" i="2"/>
  <c r="Z23" i="2"/>
  <c r="AA23" i="2" s="1"/>
  <c r="AF23" i="2" s="1"/>
  <c r="Z24" i="2"/>
  <c r="Z25" i="2"/>
  <c r="Z26" i="2"/>
  <c r="Z27" i="2"/>
  <c r="Z28" i="2"/>
  <c r="Z29" i="2"/>
  <c r="Z30" i="2"/>
  <c r="Z31" i="2"/>
  <c r="AA31" i="2" s="1"/>
  <c r="AF31" i="2" s="1"/>
  <c r="Z32" i="2"/>
  <c r="Z33" i="2"/>
  <c r="Z34" i="2"/>
  <c r="Z35" i="2"/>
  <c r="AA35" i="2" s="1"/>
  <c r="AF35" i="2" s="1"/>
  <c r="Z36" i="2"/>
  <c r="AA36" i="2" s="1"/>
  <c r="AF36" i="2" s="1"/>
  <c r="Z37" i="2"/>
  <c r="Z38" i="2"/>
  <c r="Z39" i="2"/>
  <c r="Z40" i="2"/>
  <c r="Z41" i="2"/>
  <c r="Z42" i="2"/>
  <c r="Z43" i="2"/>
  <c r="AA43" i="2" s="1"/>
  <c r="AF43" i="2" s="1"/>
  <c r="Z44" i="2"/>
  <c r="Z45" i="2"/>
  <c r="Z46" i="2"/>
  <c r="Z47" i="2"/>
  <c r="Z48" i="2"/>
  <c r="Z49" i="2"/>
  <c r="Z50" i="2"/>
  <c r="Z51" i="2"/>
  <c r="Z52" i="2"/>
  <c r="Z53" i="2"/>
  <c r="Z54" i="2"/>
  <c r="Z55" i="2"/>
  <c r="AF4" i="2"/>
  <c r="AF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3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BA11" i="2" l="1"/>
  <c r="BB11" i="2" s="1"/>
  <c r="BS18" i="2"/>
  <c r="H21" i="1" s="1"/>
  <c r="BU18" i="2"/>
  <c r="G21" i="1" s="1"/>
  <c r="BQ18" i="2"/>
  <c r="Q21" i="1" s="1"/>
  <c r="BR18" i="2"/>
  <c r="E21" i="1" s="1"/>
  <c r="BU19" i="2"/>
  <c r="G22" i="1" s="1"/>
  <c r="BQ19" i="2"/>
  <c r="Q22" i="1" s="1"/>
  <c r="BR19" i="2"/>
  <c r="E22" i="1" s="1"/>
  <c r="BS19" i="2"/>
  <c r="H22" i="1" s="1"/>
  <c r="BA10" i="2"/>
  <c r="BB10" i="2" s="1"/>
  <c r="BM4" i="2"/>
  <c r="BN4" i="2" s="1"/>
  <c r="BL8" i="2"/>
  <c r="BT19" i="2"/>
  <c r="F22" i="1" s="1"/>
  <c r="BA13" i="2"/>
  <c r="BB13" i="2" s="1"/>
  <c r="BT18" i="2"/>
  <c r="F21" i="1" s="1"/>
  <c r="BL6" i="2"/>
  <c r="BK6" i="2"/>
  <c r="BL13" i="2"/>
  <c r="BK13" i="2"/>
  <c r="BL14" i="2"/>
  <c r="BK14" i="2"/>
  <c r="BL17" i="2"/>
  <c r="BK17" i="2"/>
  <c r="AA54" i="2"/>
  <c r="AF54" i="2" s="1"/>
  <c r="AA46" i="2"/>
  <c r="AF46" i="2" s="1"/>
  <c r="AA38" i="2"/>
  <c r="AF38" i="2" s="1"/>
  <c r="AA30" i="2"/>
  <c r="AF30" i="2" s="1"/>
  <c r="AA22" i="2"/>
  <c r="AF22" i="2" s="1"/>
  <c r="AA14" i="2"/>
  <c r="AF14" i="2" s="1"/>
  <c r="AA10" i="2"/>
  <c r="AF10" i="2" s="1"/>
  <c r="AA55" i="2"/>
  <c r="AF55" i="2" s="1"/>
  <c r="AA47" i="2"/>
  <c r="AF47" i="2" s="1"/>
  <c r="AA39" i="2"/>
  <c r="AF39" i="2" s="1"/>
  <c r="AA27" i="2"/>
  <c r="AF27" i="2" s="1"/>
  <c r="AA19" i="2"/>
  <c r="AF19" i="2" s="1"/>
  <c r="AA15" i="2"/>
  <c r="AF15" i="2" s="1"/>
  <c r="AA7" i="2"/>
  <c r="AF7" i="2" s="1"/>
  <c r="AA52" i="2"/>
  <c r="AF52" i="2" s="1"/>
  <c r="AA48" i="2"/>
  <c r="AF48" i="2" s="1"/>
  <c r="AA44" i="2"/>
  <c r="AF44" i="2" s="1"/>
  <c r="AA40" i="2"/>
  <c r="AF40" i="2" s="1"/>
  <c r="AA32" i="2"/>
  <c r="AF32" i="2" s="1"/>
  <c r="AA28" i="2"/>
  <c r="AF28" i="2" s="1"/>
  <c r="AA24" i="2"/>
  <c r="AF24" i="2" s="1"/>
  <c r="AA20" i="2"/>
  <c r="AF20" i="2" s="1"/>
  <c r="AA16" i="2"/>
  <c r="AF16" i="2" s="1"/>
  <c r="AA12" i="2"/>
  <c r="AF12" i="2" s="1"/>
  <c r="AA8" i="2"/>
  <c r="AF8" i="2" s="1"/>
  <c r="AA50" i="2"/>
  <c r="AF50" i="2" s="1"/>
  <c r="AA42" i="2"/>
  <c r="AF42" i="2" s="1"/>
  <c r="AA34" i="2"/>
  <c r="AF34" i="2" s="1"/>
  <c r="AA26" i="2"/>
  <c r="AF26" i="2" s="1"/>
  <c r="AA18" i="2"/>
  <c r="AF18" i="2" s="1"/>
  <c r="AA6" i="2"/>
  <c r="AF6" i="2" s="1"/>
  <c r="AA51" i="2"/>
  <c r="AF51" i="2" s="1"/>
  <c r="AA53" i="2"/>
  <c r="AF53" i="2" s="1"/>
  <c r="AA49" i="2"/>
  <c r="AF49" i="2" s="1"/>
  <c r="AA45" i="2"/>
  <c r="AF45" i="2" s="1"/>
  <c r="AA41" i="2"/>
  <c r="AF41" i="2" s="1"/>
  <c r="AA37" i="2"/>
  <c r="AF37" i="2" s="1"/>
  <c r="AA33" i="2"/>
  <c r="AF33" i="2" s="1"/>
  <c r="AA29" i="2"/>
  <c r="AF29" i="2" s="1"/>
  <c r="AA25" i="2"/>
  <c r="AF25" i="2" s="1"/>
  <c r="AA21" i="2"/>
  <c r="AF21" i="2" s="1"/>
  <c r="AA17" i="2"/>
  <c r="AF17" i="2" s="1"/>
  <c r="AA13" i="2"/>
  <c r="AF13" i="2" s="1"/>
  <c r="AA9" i="2"/>
  <c r="AF9" i="2" s="1"/>
  <c r="AA5" i="2"/>
  <c r="AF5" i="2" s="1"/>
  <c r="AE50" i="2"/>
  <c r="AE26" i="2"/>
  <c r="BM7" i="2" s="1"/>
  <c r="AE30" i="2"/>
  <c r="BM9" i="2" s="1"/>
  <c r="AE38" i="2"/>
  <c r="BC2" i="1"/>
  <c r="BC1" i="1"/>
  <c r="BD1" i="1" s="1"/>
  <c r="BM5" i="2" l="1"/>
  <c r="BN5" i="2" s="1"/>
  <c r="BM8" i="2"/>
  <c r="BN8" i="2" s="1"/>
  <c r="BM15" i="2"/>
  <c r="BN15" i="2" s="1"/>
  <c r="BM13" i="2"/>
  <c r="BN13" i="2" s="1"/>
  <c r="BR4" i="2"/>
  <c r="E7" i="1" s="1"/>
  <c r="BS4" i="2"/>
  <c r="BQ4" i="2"/>
  <c r="Q7" i="1" s="1"/>
  <c r="BM17" i="2"/>
  <c r="BN17" i="2" s="1"/>
  <c r="BM14" i="2"/>
  <c r="BN14" i="2" s="1"/>
  <c r="BM10" i="2"/>
  <c r="BN10" i="2" s="1"/>
  <c r="BM11" i="2"/>
  <c r="BN11" i="2" s="1"/>
  <c r="BM6" i="2"/>
  <c r="BN6" i="2" s="1"/>
  <c r="BM12" i="2"/>
  <c r="BN12" i="2" s="1"/>
  <c r="BM16" i="2"/>
  <c r="BN16" i="2" s="1"/>
  <c r="BM3" i="2"/>
  <c r="BN3" i="2" s="1"/>
  <c r="BN9" i="2"/>
  <c r="BN7" i="2"/>
  <c r="BE1" i="1"/>
  <c r="BD2" i="1"/>
  <c r="BE2" i="1" s="1"/>
  <c r="BE4" i="1"/>
  <c r="BB4" i="1"/>
  <c r="AR4" i="1"/>
  <c r="AO4" i="1"/>
  <c r="AL4" i="1"/>
  <c r="AP4" i="1"/>
  <c r="AM4" i="1"/>
  <c r="AJ4" i="1"/>
  <c r="BS17" i="2" l="1"/>
  <c r="H20" i="1" s="1"/>
  <c r="BU17" i="2"/>
  <c r="G20" i="1" s="1"/>
  <c r="BQ17" i="2"/>
  <c r="Q20" i="1" s="1"/>
  <c r="BR17" i="2"/>
  <c r="E20" i="1" s="1"/>
  <c r="BR3" i="2"/>
  <c r="E6" i="1" s="1"/>
  <c r="BS3" i="2"/>
  <c r="BY3" i="2" s="1"/>
  <c r="BT3" i="2" s="1"/>
  <c r="F6" i="1" s="1"/>
  <c r="BQ3" i="2"/>
  <c r="Q6" i="1" s="1"/>
  <c r="U6" i="1" s="1"/>
  <c r="BS14" i="2"/>
  <c r="BY14" i="2" s="1"/>
  <c r="BQ14" i="2"/>
  <c r="Q17" i="1" s="1"/>
  <c r="BR14" i="2"/>
  <c r="E17" i="1" s="1"/>
  <c r="BQ15" i="2"/>
  <c r="Q18" i="1" s="1"/>
  <c r="BR15" i="2"/>
  <c r="E18" i="1" s="1"/>
  <c r="BS15" i="2"/>
  <c r="BY15" i="2" s="1"/>
  <c r="BU15" i="2" s="1"/>
  <c r="BS13" i="2"/>
  <c r="H16" i="1" s="1"/>
  <c r="BQ13" i="2"/>
  <c r="Q16" i="1" s="1"/>
  <c r="BR13" i="2"/>
  <c r="E16" i="1" s="1"/>
  <c r="BS9" i="2"/>
  <c r="BQ9" i="2"/>
  <c r="Q12" i="1" s="1"/>
  <c r="BR9" i="2"/>
  <c r="E12" i="1" s="1"/>
  <c r="BR12" i="2"/>
  <c r="E15" i="1" s="1"/>
  <c r="BS12" i="2"/>
  <c r="H15" i="1" s="1"/>
  <c r="BQ12" i="2"/>
  <c r="Q15" i="1" s="1"/>
  <c r="BS10" i="2"/>
  <c r="H13" i="1" s="1"/>
  <c r="BQ10" i="2"/>
  <c r="Q13" i="1" s="1"/>
  <c r="BR10" i="2"/>
  <c r="BS5" i="2"/>
  <c r="BQ5" i="2"/>
  <c r="Q8" i="1" s="1"/>
  <c r="BR5" i="2"/>
  <c r="E8" i="1" s="1"/>
  <c r="BQ11" i="2"/>
  <c r="Q14" i="1" s="1"/>
  <c r="BR11" i="2"/>
  <c r="E14" i="1" s="1"/>
  <c r="BS11" i="2"/>
  <c r="H14" i="1" s="1"/>
  <c r="BS6" i="2"/>
  <c r="BY6" i="2" s="1"/>
  <c r="BU6" i="2" s="1"/>
  <c r="BQ6" i="2"/>
  <c r="Q9" i="1" s="1"/>
  <c r="BR6" i="2"/>
  <c r="E9" i="1" s="1"/>
  <c r="BQ7" i="2"/>
  <c r="Q10" i="1" s="1"/>
  <c r="BR7" i="2"/>
  <c r="BS7" i="2"/>
  <c r="BY7" i="2" s="1"/>
  <c r="BU7" i="2" s="1"/>
  <c r="BR16" i="2"/>
  <c r="BS16" i="2"/>
  <c r="BQ16" i="2"/>
  <c r="Q19" i="1" s="1"/>
  <c r="BR8" i="2"/>
  <c r="E11" i="1" s="1"/>
  <c r="BS8" i="2"/>
  <c r="BY8" i="2" s="1"/>
  <c r="BU8" i="2" s="1"/>
  <c r="BQ8" i="2"/>
  <c r="Q11" i="1" s="1"/>
  <c r="E10" i="1"/>
  <c r="BT17" i="2"/>
  <c r="F20" i="1" s="1"/>
  <c r="H7" i="1"/>
  <c r="BY4" i="2"/>
  <c r="BU4" i="2" s="1"/>
  <c r="AK2" i="1"/>
  <c r="H9" i="1" l="1"/>
  <c r="H18" i="1"/>
  <c r="BT14" i="2"/>
  <c r="F17" i="1" s="1"/>
  <c r="BU14" i="2"/>
  <c r="G11" i="1"/>
  <c r="O11" i="1" s="1"/>
  <c r="BU3" i="2"/>
  <c r="BY11" i="2"/>
  <c r="H12" i="1"/>
  <c r="BY9" i="2"/>
  <c r="BU9" i="2" s="1"/>
  <c r="BT15" i="2"/>
  <c r="F18" i="1" s="1"/>
  <c r="G18" i="1"/>
  <c r="O18" i="1" s="1"/>
  <c r="G17" i="1"/>
  <c r="O17" i="1" s="1"/>
  <c r="BT8" i="2"/>
  <c r="F11" i="1" s="1"/>
  <c r="H11" i="1"/>
  <c r="S6" i="1"/>
  <c r="BT7" i="2"/>
  <c r="F10" i="1" s="1"/>
  <c r="G10" i="1"/>
  <c r="O10" i="1" s="1"/>
  <c r="H10" i="1"/>
  <c r="BY12" i="2"/>
  <c r="BY10" i="2"/>
  <c r="BU10" i="2" s="1"/>
  <c r="H17" i="1"/>
  <c r="BT6" i="2"/>
  <c r="F9" i="1" s="1"/>
  <c r="G9" i="1"/>
  <c r="O9" i="1" s="1"/>
  <c r="G7" i="1"/>
  <c r="O7" i="1" s="1"/>
  <c r="BT4" i="2"/>
  <c r="F7" i="1" s="1"/>
  <c r="BY16" i="2"/>
  <c r="BU16" i="2" s="1"/>
  <c r="H8" i="1"/>
  <c r="BY5" i="2"/>
  <c r="BU5" i="2" s="1"/>
  <c r="BY13" i="2"/>
  <c r="BU13" i="2" s="1"/>
  <c r="H6" i="1"/>
  <c r="R16" i="1"/>
  <c r="O20" i="1"/>
  <c r="O21" i="1"/>
  <c r="O22" i="1"/>
  <c r="O23" i="1"/>
  <c r="O24" i="1"/>
  <c r="B5" i="1"/>
  <c r="I2" i="1"/>
  <c r="F5" i="1"/>
  <c r="A5" i="1"/>
  <c r="J5" i="1"/>
  <c r="I5" i="1"/>
  <c r="H5" i="1"/>
  <c r="E5" i="1"/>
  <c r="O5" i="1"/>
  <c r="G5" i="1" s="1"/>
  <c r="N5" i="1"/>
  <c r="M5" i="1"/>
  <c r="L5" i="1"/>
  <c r="K5" i="1"/>
  <c r="AA25" i="1"/>
  <c r="BU12" i="2" l="1"/>
  <c r="G15" i="1" s="1"/>
  <c r="O15" i="1" s="1"/>
  <c r="BT11" i="2"/>
  <c r="F14" i="1" s="1"/>
  <c r="BU11" i="2"/>
  <c r="G14" i="1" s="1"/>
  <c r="O14" i="1" s="1"/>
  <c r="BT16" i="2"/>
  <c r="G19" i="1"/>
  <c r="O19" i="1" s="1"/>
  <c r="G12" i="1"/>
  <c r="O12" i="1" s="1"/>
  <c r="BT9" i="2"/>
  <c r="F12" i="1" s="1"/>
  <c r="BT12" i="2"/>
  <c r="F15" i="1" s="1"/>
  <c r="G16" i="1"/>
  <c r="O16" i="1" s="1"/>
  <c r="BT13" i="2"/>
  <c r="F16" i="1" s="1"/>
  <c r="BT10" i="2"/>
  <c r="G13" i="1"/>
  <c r="O13" i="1" s="1"/>
  <c r="G6" i="1"/>
  <c r="O6" i="1" s="1"/>
  <c r="G8" i="1"/>
  <c r="O8" i="1" s="1"/>
  <c r="BT5" i="2"/>
  <c r="F8" i="1" s="1"/>
  <c r="R4" i="1"/>
  <c r="R3" i="1"/>
  <c r="AB3" i="1" l="1"/>
  <c r="AA3" i="1"/>
  <c r="AB4" i="1" l="1"/>
  <c r="AA4" i="1"/>
  <c r="Q29" i="1"/>
  <c r="Z29" i="1" l="1"/>
  <c r="AD23" i="1" l="1"/>
  <c r="AD7" i="1"/>
  <c r="AD8" i="1"/>
  <c r="AD10" i="1"/>
  <c r="AD11" i="1"/>
  <c r="AD19" i="1"/>
  <c r="AD17" i="1"/>
  <c r="AD13" i="1"/>
  <c r="AD12" i="1"/>
  <c r="AD21" i="1"/>
  <c r="AD20" i="1"/>
  <c r="AD15" i="1"/>
  <c r="AD9" i="1"/>
  <c r="AD18" i="1"/>
  <c r="AD24" i="1"/>
  <c r="AD22" i="1"/>
  <c r="AD16" i="1"/>
  <c r="AD14" i="1"/>
  <c r="AD6" i="1"/>
  <c r="R9" i="1" l="1"/>
  <c r="R12" i="1"/>
  <c r="R19" i="1"/>
  <c r="R7" i="1"/>
  <c r="R14" i="1"/>
  <c r="R18" i="1"/>
  <c r="R21" i="1"/>
  <c r="R17" i="1"/>
  <c r="R8" i="1"/>
  <c r="R6" i="1"/>
  <c r="R24" i="1"/>
  <c r="R20" i="1"/>
  <c r="R13" i="1"/>
  <c r="R10" i="1"/>
  <c r="R22" i="1"/>
  <c r="R15" i="1"/>
  <c r="R11" i="1"/>
  <c r="R23" i="1"/>
  <c r="T18" i="1"/>
  <c r="S18" i="1"/>
  <c r="X18" i="1" s="1"/>
  <c r="V18" i="1"/>
  <c r="AN18" i="1" s="1"/>
  <c r="U18" i="1"/>
  <c r="AJ18" i="1" s="1"/>
  <c r="T10" i="1"/>
  <c r="V10" i="1"/>
  <c r="AN10" i="1" s="1"/>
  <c r="U10" i="1"/>
  <c r="AJ10" i="1" s="1"/>
  <c r="T20" i="1"/>
  <c r="S20" i="1"/>
  <c r="X20" i="1" s="1"/>
  <c r="V20" i="1"/>
  <c r="AN20" i="1" s="1"/>
  <c r="U20" i="1"/>
  <c r="AJ20" i="1" s="1"/>
  <c r="AJ6" i="1"/>
  <c r="AX6" i="1" s="1"/>
  <c r="T6" i="1"/>
  <c r="V6" i="1"/>
  <c r="AN6" i="1" s="1"/>
  <c r="X6" i="1"/>
  <c r="T9" i="1"/>
  <c r="U9" i="1"/>
  <c r="AJ9" i="1" s="1"/>
  <c r="V9" i="1"/>
  <c r="AN9" i="1" s="1"/>
  <c r="T12" i="1"/>
  <c r="V12" i="1"/>
  <c r="AN12" i="1" s="1"/>
  <c r="U12" i="1"/>
  <c r="AJ12" i="1" s="1"/>
  <c r="T19" i="1"/>
  <c r="U19" i="1"/>
  <c r="AJ19" i="1" s="1"/>
  <c r="S19" i="1"/>
  <c r="X19" i="1" s="1"/>
  <c r="V19" i="1"/>
  <c r="AN19" i="1" s="1"/>
  <c r="T8" i="1"/>
  <c r="S8" i="1"/>
  <c r="X8" i="1" s="1"/>
  <c r="U8" i="1"/>
  <c r="AJ8" i="1" s="1"/>
  <c r="V8" i="1"/>
  <c r="AN8" i="1" s="1"/>
  <c r="T16" i="1"/>
  <c r="S16" i="1"/>
  <c r="X16" i="1" s="1"/>
  <c r="V16" i="1"/>
  <c r="AN16" i="1" s="1"/>
  <c r="U16" i="1"/>
  <c r="AJ16" i="1" s="1"/>
  <c r="T21" i="1"/>
  <c r="U21" i="1"/>
  <c r="AJ21" i="1" s="1"/>
  <c r="S21" i="1"/>
  <c r="X21" i="1" s="1"/>
  <c r="V21" i="1"/>
  <c r="AN21" i="1" s="1"/>
  <c r="T17" i="1"/>
  <c r="U17" i="1"/>
  <c r="AJ17" i="1" s="1"/>
  <c r="S17" i="1"/>
  <c r="X17" i="1" s="1"/>
  <c r="V17" i="1"/>
  <c r="AN17" i="1" s="1"/>
  <c r="T14" i="1"/>
  <c r="S14" i="1"/>
  <c r="X14" i="1" s="1"/>
  <c r="V14" i="1"/>
  <c r="AN14" i="1" s="1"/>
  <c r="U14" i="1"/>
  <c r="AJ14" i="1" s="1"/>
  <c r="T24" i="1"/>
  <c r="S24" i="1"/>
  <c r="X24" i="1" s="1"/>
  <c r="V24" i="1"/>
  <c r="AN24" i="1" s="1"/>
  <c r="U24" i="1"/>
  <c r="AJ24" i="1" s="1"/>
  <c r="T13" i="1"/>
  <c r="U13" i="1"/>
  <c r="AJ13" i="1" s="1"/>
  <c r="V13" i="1"/>
  <c r="AN13" i="1" s="1"/>
  <c r="T23" i="1"/>
  <c r="U23" i="1"/>
  <c r="AJ23" i="1" s="1"/>
  <c r="S23" i="1"/>
  <c r="X23" i="1" s="1"/>
  <c r="V23" i="1"/>
  <c r="AN23" i="1" s="1"/>
  <c r="T22" i="1"/>
  <c r="S22" i="1"/>
  <c r="X22" i="1" s="1"/>
  <c r="V22" i="1"/>
  <c r="AN22" i="1" s="1"/>
  <c r="U22" i="1"/>
  <c r="AJ22" i="1" s="1"/>
  <c r="T15" i="1"/>
  <c r="U15" i="1"/>
  <c r="AJ15" i="1" s="1"/>
  <c r="S15" i="1"/>
  <c r="X15" i="1" s="1"/>
  <c r="V15" i="1"/>
  <c r="AN15" i="1" s="1"/>
  <c r="T11" i="1"/>
  <c r="U11" i="1"/>
  <c r="AJ11" i="1" s="1"/>
  <c r="V11" i="1"/>
  <c r="AN11" i="1" s="1"/>
  <c r="T7" i="1"/>
  <c r="V7" i="1"/>
  <c r="AN7" i="1" s="1"/>
  <c r="U7" i="1"/>
  <c r="AJ7" i="1" s="1"/>
  <c r="S7" i="1"/>
  <c r="X7" i="1" s="1"/>
  <c r="A12" i="1"/>
  <c r="C12" i="1" s="1"/>
  <c r="Z12" i="1"/>
  <c r="A19" i="1"/>
  <c r="C19" i="1" s="1"/>
  <c r="AB19" i="1"/>
  <c r="Z19" i="1"/>
  <c r="A16" i="1"/>
  <c r="C16" i="1" s="1"/>
  <c r="AB16" i="1"/>
  <c r="Z16" i="1"/>
  <c r="A21" i="1"/>
  <c r="C21" i="1" s="1"/>
  <c r="AB21" i="1"/>
  <c r="Z21" i="1"/>
  <c r="A10" i="1"/>
  <c r="C10" i="1" s="1"/>
  <c r="Z10" i="1"/>
  <c r="A20" i="1"/>
  <c r="C20" i="1" s="1"/>
  <c r="AB20" i="1"/>
  <c r="Z20" i="1"/>
  <c r="A22" i="1"/>
  <c r="C22" i="1" s="1"/>
  <c r="Z22" i="1"/>
  <c r="AB22" i="1"/>
  <c r="A15" i="1"/>
  <c r="C15" i="1" s="1"/>
  <c r="Z15" i="1"/>
  <c r="AB15" i="1"/>
  <c r="A11" i="1"/>
  <c r="C11" i="1" s="1"/>
  <c r="Z11" i="1"/>
  <c r="A7" i="1"/>
  <c r="C7" i="1" s="1"/>
  <c r="Z7" i="1"/>
  <c r="A6" i="1"/>
  <c r="C6" i="1" s="1"/>
  <c r="Z6" i="1"/>
  <c r="A9" i="1"/>
  <c r="C9" i="1" s="1"/>
  <c r="Z9" i="1"/>
  <c r="A8" i="1"/>
  <c r="C8" i="1" s="1"/>
  <c r="Z8" i="1"/>
  <c r="A18" i="1"/>
  <c r="C18" i="1" s="1"/>
  <c r="AB18" i="1"/>
  <c r="Z18" i="1"/>
  <c r="A17" i="1"/>
  <c r="C17" i="1" s="1"/>
  <c r="Z17" i="1"/>
  <c r="AB17" i="1"/>
  <c r="A14" i="1"/>
  <c r="C14" i="1" s="1"/>
  <c r="AB14" i="1"/>
  <c r="Z14" i="1"/>
  <c r="A24" i="1"/>
  <c r="C24" i="1" s="1"/>
  <c r="Z24" i="1"/>
  <c r="AB24" i="1"/>
  <c r="A13" i="1"/>
  <c r="C13" i="1" s="1"/>
  <c r="Z13" i="1"/>
  <c r="A23" i="1"/>
  <c r="C23" i="1" s="1"/>
  <c r="Z23" i="1"/>
  <c r="AB23" i="1"/>
  <c r="AP7" i="1" l="1"/>
  <c r="AY7" i="1"/>
  <c r="AL11" i="1"/>
  <c r="AX11" i="1"/>
  <c r="AL15" i="1"/>
  <c r="AX15" i="1"/>
  <c r="AL23" i="1"/>
  <c r="AX23" i="1"/>
  <c r="AL13" i="1"/>
  <c r="AR13" i="1" s="1"/>
  <c r="AX13" i="1"/>
  <c r="AL17" i="1"/>
  <c r="AR17" i="1" s="1"/>
  <c r="AX17" i="1"/>
  <c r="AL21" i="1"/>
  <c r="AX21" i="1"/>
  <c r="AX19" i="1"/>
  <c r="AL19" i="1"/>
  <c r="AL9" i="1"/>
  <c r="AR9" i="1" s="1"/>
  <c r="AX9" i="1"/>
  <c r="AL7" i="1"/>
  <c r="AR7" i="1" s="1"/>
  <c r="AX7" i="1"/>
  <c r="AY22" i="1"/>
  <c r="AP22" i="1"/>
  <c r="AY24" i="1"/>
  <c r="AP24" i="1"/>
  <c r="AP14" i="1"/>
  <c r="AY14" i="1"/>
  <c r="AP16" i="1"/>
  <c r="AY16" i="1"/>
  <c r="AL8" i="1"/>
  <c r="AX8" i="1"/>
  <c r="AP12" i="1"/>
  <c r="AY12" i="1"/>
  <c r="AY20" i="1"/>
  <c r="AP20" i="1"/>
  <c r="AP10" i="1"/>
  <c r="AY10" i="1"/>
  <c r="AY18" i="1"/>
  <c r="AP18" i="1"/>
  <c r="AP11" i="1"/>
  <c r="AY11" i="1"/>
  <c r="AP15" i="1"/>
  <c r="AY15" i="1"/>
  <c r="AX22" i="1"/>
  <c r="AL22" i="1"/>
  <c r="AY23" i="1"/>
  <c r="AP23" i="1"/>
  <c r="AP13" i="1"/>
  <c r="AY13" i="1"/>
  <c r="AX24" i="1"/>
  <c r="AL24" i="1"/>
  <c r="AL14" i="1"/>
  <c r="AX14" i="1"/>
  <c r="AP17" i="1"/>
  <c r="AY17" i="1"/>
  <c r="AY21" i="1"/>
  <c r="AP21" i="1"/>
  <c r="AL16" i="1"/>
  <c r="AX16" i="1"/>
  <c r="AP8" i="1"/>
  <c r="AY8" i="1"/>
  <c r="AP19" i="1"/>
  <c r="AY19" i="1"/>
  <c r="AL12" i="1"/>
  <c r="AS12" i="1" s="1"/>
  <c r="AX12" i="1"/>
  <c r="AP9" i="1"/>
  <c r="AY9" i="1"/>
  <c r="AL20" i="1"/>
  <c r="AX20" i="1"/>
  <c r="AL10" i="1"/>
  <c r="AX10" i="1"/>
  <c r="AX18" i="1"/>
  <c r="AL18" i="1"/>
  <c r="AP6" i="1"/>
  <c r="AY6" i="1"/>
  <c r="AZ6" i="1" s="1"/>
  <c r="AV6" i="1" s="1"/>
  <c r="AR14" i="1"/>
  <c r="AL6" i="1"/>
  <c r="Z25" i="1"/>
  <c r="AZ24" i="1" l="1"/>
  <c r="AV24" i="1" s="1"/>
  <c r="AR12" i="1"/>
  <c r="AT12" i="1" s="1"/>
  <c r="AS17" i="1"/>
  <c r="AT17" i="1" s="1"/>
  <c r="AS8" i="1"/>
  <c r="AS16" i="1"/>
  <c r="AS14" i="1"/>
  <c r="AT14" i="1" s="1"/>
  <c r="AS11" i="1"/>
  <c r="AR11" i="1"/>
  <c r="AS10" i="1"/>
  <c r="AZ10" i="1"/>
  <c r="AS7" i="1"/>
  <c r="AT7" i="1" s="1"/>
  <c r="AR16" i="1"/>
  <c r="AZ21" i="1"/>
  <c r="AZ13" i="1"/>
  <c r="AS15" i="1"/>
  <c r="AS13" i="1"/>
  <c r="AT13" i="1" s="1"/>
  <c r="AR10" i="1"/>
  <c r="AS9" i="1"/>
  <c r="AT9" i="1" s="1"/>
  <c r="AS24" i="1"/>
  <c r="AR24" i="1"/>
  <c r="AR20" i="1"/>
  <c r="AS20" i="1"/>
  <c r="AR23" i="1"/>
  <c r="AS23" i="1"/>
  <c r="AR8" i="1"/>
  <c r="AR15" i="1"/>
  <c r="AZ18" i="1"/>
  <c r="AZ22" i="1"/>
  <c r="AZ19" i="1"/>
  <c r="AS21" i="1"/>
  <c r="AR21" i="1"/>
  <c r="AR18" i="1"/>
  <c r="AS18" i="1"/>
  <c r="AR22" i="1"/>
  <c r="AS22" i="1"/>
  <c r="AS19" i="1"/>
  <c r="AR19" i="1"/>
  <c r="AZ9" i="1"/>
  <c r="AZ15" i="1"/>
  <c r="AZ20" i="1"/>
  <c r="AZ8" i="1"/>
  <c r="AZ14" i="1"/>
  <c r="AZ12" i="1"/>
  <c r="AZ16" i="1"/>
  <c r="AZ7" i="1"/>
  <c r="AZ17" i="1"/>
  <c r="AZ23" i="1"/>
  <c r="AZ11" i="1"/>
  <c r="AR6" i="1"/>
  <c r="AS6" i="1"/>
  <c r="BC6" i="1" s="1"/>
  <c r="BC24" i="1" l="1"/>
  <c r="AT16" i="1"/>
  <c r="BA16" i="1" s="1"/>
  <c r="BB16" i="1" s="1"/>
  <c r="BC10" i="1"/>
  <c r="AT8" i="1"/>
  <c r="AU8" i="1" s="1"/>
  <c r="AT11" i="1"/>
  <c r="BA11" i="1" s="1"/>
  <c r="BB11" i="1" s="1"/>
  <c r="AV10" i="1"/>
  <c r="AT10" i="1"/>
  <c r="BA10" i="1" s="1"/>
  <c r="BB10" i="1" s="1"/>
  <c r="AT22" i="1"/>
  <c r="AU22" i="1" s="1"/>
  <c r="AT15" i="1"/>
  <c r="BA15" i="1" s="1"/>
  <c r="BB15" i="1" s="1"/>
  <c r="AT20" i="1"/>
  <c r="BA20" i="1" s="1"/>
  <c r="BB20" i="1" s="1"/>
  <c r="BC15" i="1"/>
  <c r="AV15" i="1"/>
  <c r="BC18" i="1"/>
  <c r="AV18" i="1"/>
  <c r="AV11" i="1"/>
  <c r="BC11" i="1"/>
  <c r="AV16" i="1"/>
  <c r="BC16" i="1"/>
  <c r="AV20" i="1"/>
  <c r="BC20" i="1"/>
  <c r="BC22" i="1"/>
  <c r="AV22" i="1"/>
  <c r="AT19" i="1"/>
  <c r="AU19" i="1" s="1"/>
  <c r="BC23" i="1"/>
  <c r="AV23" i="1"/>
  <c r="BC7" i="1"/>
  <c r="AV7" i="1"/>
  <c r="AV8" i="1"/>
  <c r="BC8" i="1"/>
  <c r="AV19" i="1"/>
  <c r="BC19" i="1"/>
  <c r="AV21" i="1"/>
  <c r="BC21" i="1"/>
  <c r="AV12" i="1"/>
  <c r="BC12" i="1"/>
  <c r="BC17" i="1"/>
  <c r="AV17" i="1"/>
  <c r="BC14" i="1"/>
  <c r="AV14" i="1"/>
  <c r="BC9" i="1"/>
  <c r="AV9" i="1"/>
  <c r="BC13" i="1"/>
  <c r="AV13" i="1"/>
  <c r="AT24" i="1"/>
  <c r="AU24" i="1" s="1"/>
  <c r="AU17" i="1"/>
  <c r="BA17" i="1"/>
  <c r="BB17" i="1" s="1"/>
  <c r="AU14" i="1"/>
  <c r="BA14" i="1"/>
  <c r="BB14" i="1" s="1"/>
  <c r="AU7" i="1"/>
  <c r="BA7" i="1"/>
  <c r="BB7" i="1" s="1"/>
  <c r="AU13" i="1"/>
  <c r="BA13" i="1"/>
  <c r="BB13" i="1" s="1"/>
  <c r="AU12" i="1"/>
  <c r="BA12" i="1"/>
  <c r="BB12" i="1" s="1"/>
  <c r="AT18" i="1"/>
  <c r="AT21" i="1"/>
  <c r="AT23" i="1"/>
  <c r="AU9" i="1"/>
  <c r="BA9" i="1"/>
  <c r="BB9" i="1" s="1"/>
  <c r="AT6" i="1"/>
  <c r="BA6" i="1" s="1"/>
  <c r="BB6" i="1" s="1"/>
  <c r="AU11" i="1" l="1"/>
  <c r="BA8" i="1"/>
  <c r="BB8" i="1" s="1"/>
  <c r="AU15" i="1"/>
  <c r="BA19" i="1"/>
  <c r="BB19" i="1" s="1"/>
  <c r="AU10" i="1"/>
  <c r="BA24" i="1"/>
  <c r="BB24" i="1" s="1"/>
  <c r="AU16" i="1"/>
  <c r="BA22" i="1"/>
  <c r="BB22" i="1" s="1"/>
  <c r="AU20" i="1"/>
  <c r="BA18" i="1"/>
  <c r="BB18" i="1" s="1"/>
  <c r="AU18" i="1"/>
  <c r="BA21" i="1"/>
  <c r="BB21" i="1" s="1"/>
  <c r="AU21" i="1"/>
  <c r="BA23" i="1"/>
  <c r="BB23" i="1" s="1"/>
  <c r="AU23" i="1"/>
  <c r="AU6" i="1"/>
  <c r="S9" i="1" l="1"/>
  <c r="X9" i="1" s="1"/>
  <c r="S10" i="1" l="1"/>
  <c r="X10" i="1" s="1"/>
  <c r="S11" i="1" l="1"/>
  <c r="X11" i="1" s="1"/>
  <c r="W13" i="1" l="1"/>
  <c r="W12" i="1"/>
  <c r="B12" i="1" l="1"/>
  <c r="BE12" i="1"/>
  <c r="Y12" i="1" s="1"/>
  <c r="B13" i="1"/>
  <c r="BE13" i="1"/>
  <c r="Y13" i="1" s="1"/>
  <c r="W18" i="1"/>
  <c r="W10" i="1"/>
  <c r="AB13" i="1"/>
  <c r="W20" i="1"/>
  <c r="W23" i="1"/>
  <c r="AB10" i="1"/>
  <c r="W19" i="1"/>
  <c r="AB12" i="1"/>
  <c r="W6" i="1"/>
  <c r="AB6" i="1"/>
  <c r="W16" i="1"/>
  <c r="W21" i="1"/>
  <c r="W9" i="1"/>
  <c r="AB9" i="1"/>
  <c r="W14" i="1"/>
  <c r="W7" i="1"/>
  <c r="AB7" i="1"/>
  <c r="AB11" i="1"/>
  <c r="W11" i="1"/>
  <c r="W24" i="1"/>
  <c r="W17" i="1"/>
  <c r="W22" i="1"/>
  <c r="AB8" i="1"/>
  <c r="W8" i="1"/>
  <c r="W15" i="1"/>
  <c r="BE11" i="1" l="1"/>
  <c r="Y11" i="1" s="1"/>
  <c r="AC11" i="1" s="1"/>
  <c r="B11" i="1"/>
  <c r="BE16" i="1"/>
  <c r="Y16" i="1" s="1"/>
  <c r="AC16" i="1" s="1"/>
  <c r="B16" i="1"/>
  <c r="BE18" i="1"/>
  <c r="Y18" i="1" s="1"/>
  <c r="AC18" i="1" s="1"/>
  <c r="B18" i="1"/>
  <c r="B19" i="1"/>
  <c r="BE19" i="1"/>
  <c r="Y19" i="1" s="1"/>
  <c r="AC19" i="1" s="1"/>
  <c r="BE10" i="1"/>
  <c r="Y10" i="1" s="1"/>
  <c r="AC10" i="1" s="1"/>
  <c r="B10" i="1"/>
  <c r="BE22" i="1"/>
  <c r="Y22" i="1" s="1"/>
  <c r="AC22" i="1" s="1"/>
  <c r="B22" i="1"/>
  <c r="BE7" i="1"/>
  <c r="Y7" i="1" s="1"/>
  <c r="AC7" i="1" s="1"/>
  <c r="B7" i="1"/>
  <c r="B21" i="1"/>
  <c r="BE21" i="1"/>
  <c r="Y21" i="1" s="1"/>
  <c r="AC21" i="1" s="1"/>
  <c r="BE6" i="1"/>
  <c r="Y6" i="1" s="1"/>
  <c r="B6" i="1"/>
  <c r="BE23" i="1"/>
  <c r="Y23" i="1" s="1"/>
  <c r="AC23" i="1" s="1"/>
  <c r="B23" i="1"/>
  <c r="BE17" i="1"/>
  <c r="Y17" i="1" s="1"/>
  <c r="AC17" i="1" s="1"/>
  <c r="B17" i="1"/>
  <c r="BE15" i="1"/>
  <c r="Y15" i="1" s="1"/>
  <c r="AC15" i="1" s="1"/>
  <c r="B15" i="1"/>
  <c r="BE20" i="1"/>
  <c r="Y20" i="1" s="1"/>
  <c r="AC20" i="1" s="1"/>
  <c r="B20" i="1"/>
  <c r="B8" i="1"/>
  <c r="BE8" i="1"/>
  <c r="Y8" i="1" s="1"/>
  <c r="AC8" i="1" s="1"/>
  <c r="BE24" i="1"/>
  <c r="Y24" i="1" s="1"/>
  <c r="AC24" i="1" s="1"/>
  <c r="B24" i="1"/>
  <c r="B14" i="1"/>
  <c r="BE14" i="1"/>
  <c r="Y14" i="1" s="1"/>
  <c r="AC14" i="1" s="1"/>
  <c r="BE9" i="1"/>
  <c r="Y9" i="1" s="1"/>
  <c r="AC9" i="1" s="1"/>
  <c r="B9" i="1"/>
  <c r="AB25" i="1"/>
  <c r="AE6" i="1"/>
  <c r="AE19" i="1"/>
  <c r="AE18" i="1"/>
  <c r="S12" i="1"/>
  <c r="X12" i="1" s="1"/>
  <c r="AE23" i="1"/>
  <c r="AE20" i="1"/>
  <c r="S13" i="1"/>
  <c r="X13" i="1" s="1"/>
  <c r="AC13" i="1" s="1"/>
  <c r="AE24" i="1"/>
  <c r="AE14" i="1"/>
  <c r="AE16" i="1"/>
  <c r="AE8" i="1"/>
  <c r="AE17" i="1"/>
  <c r="AE21" i="1"/>
  <c r="AE22" i="1"/>
  <c r="AE7" i="1"/>
  <c r="AE15" i="1"/>
  <c r="X25" i="1" l="1"/>
  <c r="AC12" i="1"/>
  <c r="AC6" i="1"/>
  <c r="Y25" i="1"/>
  <c r="AE13" i="1"/>
  <c r="AE12" i="1"/>
  <c r="AE11" i="1"/>
  <c r="AE10" i="1"/>
  <c r="AE9" i="1"/>
  <c r="AC25" i="1" l="1"/>
  <c r="J2" i="1" s="1"/>
</calcChain>
</file>

<file path=xl/sharedStrings.xml><?xml version="1.0" encoding="utf-8"?>
<sst xmlns="http://schemas.openxmlformats.org/spreadsheetml/2006/main" count="286" uniqueCount="243">
  <si>
    <t>Jméno</t>
  </si>
  <si>
    <t>čís. OP</t>
  </si>
  <si>
    <t>dopravní prostředek</t>
  </si>
  <si>
    <t>bydliště</t>
  </si>
  <si>
    <t>odjezd z bydlíště</t>
  </si>
  <si>
    <t>příjezd do bydlíště</t>
  </si>
  <si>
    <t>cestovné</t>
  </si>
  <si>
    <t>stravné</t>
  </si>
  <si>
    <t>nocležné</t>
  </si>
  <si>
    <t>za výkon funkce</t>
  </si>
  <si>
    <t>celkem</t>
  </si>
  <si>
    <t>SPZ</t>
  </si>
  <si>
    <t>podpis</t>
  </si>
  <si>
    <t>Vyúčtování rozhodčích SZČR</t>
  </si>
  <si>
    <t>Název soutěže:</t>
  </si>
  <si>
    <t>Pořadatel soutěže:</t>
  </si>
  <si>
    <t>Místo konání soutěže:</t>
  </si>
  <si>
    <t>Datum soutěže:</t>
  </si>
  <si>
    <r>
      <t>Celkem  :</t>
    </r>
    <r>
      <rPr>
        <sz val="12"/>
        <rFont val="Times New Roman CE"/>
        <charset val="238"/>
      </rPr>
      <t xml:space="preserve"> </t>
    </r>
  </si>
  <si>
    <t>podpis:</t>
  </si>
  <si>
    <t>příjmení a jméno:</t>
  </si>
  <si>
    <t>různé</t>
  </si>
  <si>
    <t>funkce</t>
  </si>
  <si>
    <t>Pouze zde vyplňuj údaje</t>
  </si>
  <si>
    <t>pokud se za výkon funkce nic nemění, nevyplňuj</t>
  </si>
  <si>
    <t>nevyplňuj</t>
  </si>
  <si>
    <t>T i s k</t>
  </si>
  <si>
    <t>Standard. AUV                   - pouze změny</t>
  </si>
  <si>
    <t>MHD</t>
  </si>
  <si>
    <t>2 dny</t>
  </si>
  <si>
    <t>1 den</t>
  </si>
  <si>
    <t>cestovné jen mimo MHD</t>
  </si>
  <si>
    <t>jen vyjímky</t>
  </si>
  <si>
    <t>jen skutečné náklady</t>
  </si>
  <si>
    <t>4T8 8124</t>
  </si>
  <si>
    <t>R O Z H O D Č Í      S Z Č R</t>
  </si>
  <si>
    <t>jméno</t>
  </si>
  <si>
    <t>číslo OP</t>
  </si>
  <si>
    <t>adresa</t>
  </si>
  <si>
    <t>auto SPZ</t>
  </si>
  <si>
    <t>třída</t>
  </si>
  <si>
    <t>telefon</t>
  </si>
  <si>
    <t>Bača Leoš</t>
  </si>
  <si>
    <t>Benda Milan</t>
  </si>
  <si>
    <t>2M9 6379</t>
  </si>
  <si>
    <t>Bílek Libor Ing.</t>
  </si>
  <si>
    <t>Bílek Tomáš</t>
  </si>
  <si>
    <t>Jihlava, Královský vršek 54</t>
  </si>
  <si>
    <t>BZC 04-05</t>
  </si>
  <si>
    <t>Březný Rudolf</t>
  </si>
  <si>
    <t xml:space="preserve"> </t>
  </si>
  <si>
    <t>Čapík Radek</t>
  </si>
  <si>
    <t>3U1 4310</t>
  </si>
  <si>
    <t>Čermák Alexandr</t>
  </si>
  <si>
    <t>2AE 5503</t>
  </si>
  <si>
    <t>Dostál Stanislav</t>
  </si>
  <si>
    <t>5T9 2941</t>
  </si>
  <si>
    <t>Durec Jan</t>
  </si>
  <si>
    <t>DCE 07-76</t>
  </si>
  <si>
    <t>EK 543251</t>
  </si>
  <si>
    <t>1L3 9065</t>
  </si>
  <si>
    <t>T 1</t>
  </si>
  <si>
    <t>Hakl Martin</t>
  </si>
  <si>
    <t>M</t>
  </si>
  <si>
    <t>Hampl Rudolf</t>
  </si>
  <si>
    <t>2U0 1769</t>
  </si>
  <si>
    <t>Herink Zdeněk</t>
  </si>
  <si>
    <t>2P6 0808</t>
  </si>
  <si>
    <t>Janda Jan</t>
  </si>
  <si>
    <t>2J8 3314</t>
  </si>
  <si>
    <t>Janda Petr</t>
  </si>
  <si>
    <t>4J75988</t>
  </si>
  <si>
    <t>Kouřil Jiří</t>
  </si>
  <si>
    <t>Strakonice, A.Dubského 873</t>
  </si>
  <si>
    <t>Komorný Vladimír</t>
  </si>
  <si>
    <t>Kopřiva Adam</t>
  </si>
  <si>
    <t>4T7 1243</t>
  </si>
  <si>
    <t>Koželuh Pavel</t>
  </si>
  <si>
    <t>5U4 2145</t>
  </si>
  <si>
    <t>Křenek Robin</t>
  </si>
  <si>
    <t>3J4 2075</t>
  </si>
  <si>
    <t>Kubát Bohumil</t>
  </si>
  <si>
    <t>Chomutov, Roháčova 36</t>
  </si>
  <si>
    <t>Kučera Oldřich</t>
  </si>
  <si>
    <t>Hoj 05-04</t>
  </si>
  <si>
    <t>Lagonikas Kostas</t>
  </si>
  <si>
    <t>1T4 6695</t>
  </si>
  <si>
    <t>Mackuljak Emil</t>
  </si>
  <si>
    <t>PVE 01-76</t>
  </si>
  <si>
    <t>Maňásek František</t>
  </si>
  <si>
    <t>Morbitzer Marcel</t>
  </si>
  <si>
    <t>Krnov,  SPC J/49</t>
  </si>
  <si>
    <t>5T1 4400</t>
  </si>
  <si>
    <t>Nečas Jiří</t>
  </si>
  <si>
    <t>BZJ 01 70</t>
  </si>
  <si>
    <t>Nový Aleš</t>
  </si>
  <si>
    <t>Pařík Antonín</t>
  </si>
  <si>
    <t>3P1 9475</t>
  </si>
  <si>
    <t>Peterka Pavel</t>
  </si>
  <si>
    <t>Petráček Michal</t>
  </si>
  <si>
    <t>2H8 1986</t>
  </si>
  <si>
    <t>T3</t>
  </si>
  <si>
    <t>Chrastava, Andělohorská 569</t>
  </si>
  <si>
    <t>Růžička Petr</t>
  </si>
  <si>
    <t>Krásná Lípa, Havlíčkova</t>
  </si>
  <si>
    <t>Mnichovice, Struhařovská 870</t>
  </si>
  <si>
    <t>Slach Stanislav</t>
  </si>
  <si>
    <t>Slončík Milan</t>
  </si>
  <si>
    <t>4T1 5873</t>
  </si>
  <si>
    <t>Soukup Jiří</t>
  </si>
  <si>
    <t>1S7 9729</t>
  </si>
  <si>
    <t>Svitek Belo</t>
  </si>
  <si>
    <t>2AT 3814</t>
  </si>
  <si>
    <t>Sýkora Josef</t>
  </si>
  <si>
    <t>2H7 9294</t>
  </si>
  <si>
    <t>Szturc Jiří</t>
  </si>
  <si>
    <t>4T9 2203</t>
  </si>
  <si>
    <t>T1</t>
  </si>
  <si>
    <t>Školník Josef</t>
  </si>
  <si>
    <t>3U1 0545</t>
  </si>
  <si>
    <t>Šulc Jan</t>
  </si>
  <si>
    <t>LN 977395</t>
  </si>
  <si>
    <t>UL 2735</t>
  </si>
  <si>
    <t>Švejdová Anna</t>
  </si>
  <si>
    <t>1L3 9695</t>
  </si>
  <si>
    <t>Timofijev Anton</t>
  </si>
  <si>
    <t>EC 735635</t>
  </si>
  <si>
    <t>5T7 1685</t>
  </si>
  <si>
    <t>Vališ Martin</t>
  </si>
  <si>
    <t>HOE 44-76</t>
  </si>
  <si>
    <t>Vejsada Jindřich</t>
  </si>
  <si>
    <t>Zachariáš Jiří</t>
  </si>
  <si>
    <t>2J9 2697</t>
  </si>
  <si>
    <t>Žáček Miroslav</t>
  </si>
  <si>
    <t>BZP 4115</t>
  </si>
  <si>
    <t>Živný Petr</t>
  </si>
  <si>
    <t>3P8 9466</t>
  </si>
  <si>
    <t xml:space="preserve">Nový Jičín, </t>
  </si>
  <si>
    <t>Prostějov, Brněnská 49</t>
  </si>
  <si>
    <t>Ostrava, Provaznická 41</t>
  </si>
  <si>
    <t>Rumburk,</t>
  </si>
  <si>
    <t>Zdice, Svatá 224</t>
  </si>
  <si>
    <t>Krásná Lípa, Havlíčkova 590</t>
  </si>
  <si>
    <t>Liberec, Volgogradská 199</t>
  </si>
  <si>
    <t>Chrastava, Fojtka 6</t>
  </si>
  <si>
    <t>Mariánská, 475  Vdf 407 47</t>
  </si>
  <si>
    <t>Litvínov, Vinohradská 977</t>
  </si>
  <si>
    <t>Ostrava, Gen. Janka 5/1158</t>
  </si>
  <si>
    <t xml:space="preserve">Havlíčkův Brod, </t>
  </si>
  <si>
    <t>Hodonín, Jižní 37</t>
  </si>
  <si>
    <t>Metylovice, Metylovice 186</t>
  </si>
  <si>
    <t>Teplice, Mírová 471</t>
  </si>
  <si>
    <t>Jihlava, Palackého 32</t>
  </si>
  <si>
    <t>Hodonín, Velkomoravská 30</t>
  </si>
  <si>
    <t>Prostějov, Na Příhoně 11</t>
  </si>
  <si>
    <t>Svobodné Dvory, Dvorská 491 HK</t>
  </si>
  <si>
    <t>Brno, Novoměstská 23</t>
  </si>
  <si>
    <t>Mladá Boleslav, Havlíčkova 1149</t>
  </si>
  <si>
    <t>Plzeň, Plachého 31</t>
  </si>
  <si>
    <t>Březová, Sklářská 81</t>
  </si>
  <si>
    <t>Hradec Králové, Čechova 1330</t>
  </si>
  <si>
    <t xml:space="preserve">Brno,  </t>
  </si>
  <si>
    <t xml:space="preserve">Litvínov,  </t>
  </si>
  <si>
    <t>Havířov,</t>
  </si>
  <si>
    <t>Teplice, Přítkovská 1466</t>
  </si>
  <si>
    <t>Čechovice,</t>
  </si>
  <si>
    <t>Borohrádek, Borohrádek 45</t>
  </si>
  <si>
    <t>Třinec, Erbenova 799</t>
  </si>
  <si>
    <t>Bílina, Studentská 586/9</t>
  </si>
  <si>
    <t>Varnsdorf,</t>
  </si>
  <si>
    <t xml:space="preserve">Liberec,   </t>
  </si>
  <si>
    <t>Hodonín, Nerudova 5</t>
  </si>
  <si>
    <t>Praha 10, Lessnerova 261</t>
  </si>
  <si>
    <t>Havlíčkův Brod, Železničářská 3279</t>
  </si>
  <si>
    <t>Brno, Fryčajova 149</t>
  </si>
  <si>
    <t>Plzeň, Koterovská 69</t>
  </si>
  <si>
    <t>Milichovský Jiří</t>
  </si>
  <si>
    <t>Suchdol n.O.,</t>
  </si>
  <si>
    <t>délka</t>
  </si>
  <si>
    <t>Friedrich Bohuslav</t>
  </si>
  <si>
    <t>čárka</t>
  </si>
  <si>
    <t>město</t>
  </si>
  <si>
    <t>Kostelec nad Labem, TGM 449</t>
  </si>
  <si>
    <t>prvá mezera</t>
  </si>
  <si>
    <t>příjmení</t>
  </si>
  <si>
    <t>Svoboda Josef</t>
  </si>
  <si>
    <t>bez titulů</t>
  </si>
  <si>
    <t>titul</t>
  </si>
  <si>
    <t>rozhodčí</t>
  </si>
  <si>
    <t>OP</t>
  </si>
  <si>
    <t>auto</t>
  </si>
  <si>
    <t>poř.</t>
  </si>
  <si>
    <t>small</t>
  </si>
  <si>
    <t>pozvyhledat</t>
  </si>
  <si>
    <t>ing.</t>
  </si>
  <si>
    <t>Holuša Oldřich ing.</t>
  </si>
  <si>
    <t>jméné</t>
  </si>
  <si>
    <t>Scheiner Václav Mgr.</t>
  </si>
  <si>
    <t>Mgr.</t>
  </si>
  <si>
    <t>DiS.</t>
  </si>
  <si>
    <t>MHD/AUV</t>
  </si>
  <si>
    <t>pouze ošatné</t>
  </si>
  <si>
    <t>prvá část</t>
  </si>
  <si>
    <t>druhá část</t>
  </si>
  <si>
    <t>druhá mezera</t>
  </si>
  <si>
    <t>Transformace dat</t>
  </si>
  <si>
    <t>Lékař:</t>
  </si>
  <si>
    <t>Vyúčtoval:</t>
  </si>
  <si>
    <t>Jindřichov ve Slezsku, 385</t>
  </si>
  <si>
    <t>8T1 7232</t>
  </si>
  <si>
    <t>Juchelka Aleš ing.</t>
  </si>
  <si>
    <t xml:space="preserve">Ostrava, </t>
  </si>
  <si>
    <t>6T8 6307</t>
  </si>
  <si>
    <t>Hložanka Martin</t>
  </si>
  <si>
    <t>Ostrava, Dolní 2287/87</t>
  </si>
  <si>
    <t>AE884504</t>
  </si>
  <si>
    <t>Brno, Rennéská třída 44</t>
  </si>
  <si>
    <t>Ondrejkovič Michal</t>
  </si>
  <si>
    <t>1.11.2013  14,00 hod</t>
  </si>
  <si>
    <t>2.11.2013  19,00 hod</t>
  </si>
  <si>
    <t>2.11.2013  5,00 hod</t>
  </si>
  <si>
    <t>2.11.2013  18,00 hod</t>
  </si>
  <si>
    <t>Hradec Králové</t>
  </si>
  <si>
    <t>1.11.2013  11,00 hod</t>
  </si>
  <si>
    <t>4J0 9631</t>
  </si>
  <si>
    <t>Maslej Alexandr</t>
  </si>
  <si>
    <t>5U0 3488</t>
  </si>
  <si>
    <t>Godawa Jiří</t>
  </si>
  <si>
    <t>5P3 8237</t>
  </si>
  <si>
    <t>Dvořák Karel</t>
  </si>
  <si>
    <t>4U4 1330</t>
  </si>
  <si>
    <t>Krásná Lípa, Křižíkova 1001/5</t>
  </si>
  <si>
    <t>6C1 5649</t>
  </si>
  <si>
    <t>6H3 3951</t>
  </si>
  <si>
    <t>8B5 0807</t>
  </si>
  <si>
    <t>1SH 7203</t>
  </si>
  <si>
    <t>4AZ 4522</t>
  </si>
  <si>
    <t>2SJ 7535</t>
  </si>
  <si>
    <t>9B4 4887</t>
  </si>
  <si>
    <t>Bc. Skalický Petr</t>
  </si>
  <si>
    <t>2K2 5967</t>
  </si>
  <si>
    <t>3K6 9886</t>
  </si>
  <si>
    <t>Piterková Petra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</si>
</sst>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name val="Times New Roman CE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24"/>
      <name val="Times New Roman CE"/>
      <family val="1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sz val="9"/>
      <name val="Times New Roman CE"/>
      <charset val="238"/>
    </font>
    <font>
      <sz val="8"/>
      <name val="Times New Roman CE"/>
      <charset val="238"/>
    </font>
    <font>
      <b/>
      <sz val="18"/>
      <name val="Times New Roman CE"/>
      <charset val="238"/>
    </font>
    <font>
      <b/>
      <sz val="20"/>
      <name val="Times New Roman CE"/>
      <charset val="238"/>
    </font>
    <font>
      <b/>
      <sz val="48"/>
      <name val="Times New Roman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6"/>
      <name val="Times New Roman"/>
      <family val="1"/>
      <charset val="238"/>
      <scheme val="minor"/>
    </font>
    <font>
      <b/>
      <sz val="12"/>
      <name val="Times New Roman"/>
      <family val="1"/>
      <charset val="238"/>
      <scheme val="minor"/>
    </font>
    <font>
      <sz val="12"/>
      <name val="Times New Roman"/>
      <family val="1"/>
      <charset val="238"/>
      <scheme val="minor"/>
    </font>
    <font>
      <sz val="12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Border="1"/>
    <xf numFmtId="4" fontId="0" fillId="0" borderId="1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0" fillId="0" borderId="4" xfId="0" applyNumberFormat="1" applyBorder="1" applyAlignment="1">
      <alignment vertical="center"/>
    </xf>
    <xf numFmtId="49" fontId="2" fillId="0" borderId="1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4" fontId="0" fillId="0" borderId="6" xfId="0" applyNumberFormat="1" applyFill="1" applyBorder="1" applyAlignment="1">
      <alignment vertical="center"/>
    </xf>
    <xf numFmtId="0" fontId="3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4" fontId="0" fillId="0" borderId="0" xfId="0" applyNumberFormat="1" applyBorder="1"/>
    <xf numFmtId="0" fontId="5" fillId="0" borderId="0" xfId="0" applyFont="1" applyAlignment="1">
      <alignment vertical="top"/>
    </xf>
    <xf numFmtId="14" fontId="5" fillId="0" borderId="0" xfId="0" applyNumberFormat="1" applyFont="1" applyAlignment="1">
      <alignment vertical="top"/>
    </xf>
    <xf numFmtId="0" fontId="5" fillId="0" borderId="0" xfId="0" applyFont="1"/>
    <xf numFmtId="14" fontId="3" fillId="0" borderId="0" xfId="0" applyNumberFormat="1" applyFont="1" applyAlignment="1">
      <alignment vertical="top"/>
    </xf>
    <xf numFmtId="0" fontId="2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1" xfId="0" applyNumberForma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1" fillId="0" borderId="28" xfId="0" applyFont="1" applyBorder="1" applyAlignment="1">
      <alignment vertical="center"/>
    </xf>
    <xf numFmtId="0" fontId="2" fillId="0" borderId="29" xfId="0" applyNumberFormat="1" applyFont="1" applyBorder="1" applyAlignment="1">
      <alignment vertical="center" wrapText="1"/>
    </xf>
    <xf numFmtId="4" fontId="0" fillId="0" borderId="29" xfId="0" applyNumberFormat="1" applyBorder="1" applyAlignment="1">
      <alignment vertical="center"/>
    </xf>
    <xf numFmtId="4" fontId="0" fillId="0" borderId="30" xfId="0" applyNumberFormat="1" applyBorder="1" applyAlignment="1">
      <alignment vertical="center"/>
    </xf>
    <xf numFmtId="0" fontId="1" fillId="0" borderId="31" xfId="0" applyFont="1" applyBorder="1" applyAlignment="1">
      <alignment vertical="center"/>
    </xf>
    <xf numFmtId="4" fontId="0" fillId="0" borderId="35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4" fontId="0" fillId="0" borderId="38" xfId="0" applyNumberFormat="1" applyBorder="1"/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0" fillId="0" borderId="42" xfId="0" applyBorder="1"/>
    <xf numFmtId="0" fontId="9" fillId="0" borderId="0" xfId="0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10" fillId="0" borderId="21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4" fontId="0" fillId="0" borderId="53" xfId="0" applyNumberFormat="1" applyBorder="1" applyAlignment="1">
      <alignment horizontal="center" vertical="center"/>
    </xf>
    <xf numFmtId="4" fontId="0" fillId="0" borderId="52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0" fillId="2" borderId="43" xfId="0" applyFill="1" applyBorder="1" applyAlignment="1">
      <alignment vertical="center"/>
    </xf>
    <xf numFmtId="0" fontId="0" fillId="2" borderId="4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0" fillId="2" borderId="45" xfId="0" applyFill="1" applyBorder="1"/>
    <xf numFmtId="0" fontId="8" fillId="2" borderId="46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2" borderId="47" xfId="0" applyFill="1" applyBorder="1"/>
    <xf numFmtId="0" fontId="0" fillId="2" borderId="48" xfId="0" applyFill="1" applyBorder="1"/>
    <xf numFmtId="0" fontId="8" fillId="2" borderId="49" xfId="0" applyFont="1" applyFill="1" applyBorder="1" applyAlignment="1">
      <alignment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0" borderId="51" xfId="0" applyFont="1" applyBorder="1" applyAlignment="1">
      <alignment horizontal="left" vertical="center"/>
    </xf>
    <xf numFmtId="4" fontId="0" fillId="0" borderId="42" xfId="0" applyNumberFormat="1" applyBorder="1"/>
    <xf numFmtId="0" fontId="8" fillId="0" borderId="6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0" borderId="54" xfId="0" applyFont="1" applyBorder="1" applyAlignment="1">
      <alignment horizontal="center" vertical="center"/>
    </xf>
    <xf numFmtId="0" fontId="15" fillId="0" borderId="55" xfId="0" applyFont="1" applyBorder="1" applyAlignment="1">
      <alignment vertical="center"/>
    </xf>
    <xf numFmtId="0" fontId="15" fillId="0" borderId="55" xfId="0" applyFont="1" applyBorder="1" applyAlignment="1">
      <alignment horizontal="center" vertical="center"/>
    </xf>
    <xf numFmtId="0" fontId="15" fillId="0" borderId="56" xfId="0" applyFont="1" applyBorder="1" applyAlignment="1">
      <alignment vertical="center"/>
    </xf>
    <xf numFmtId="0" fontId="15" fillId="0" borderId="57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58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5" fillId="0" borderId="9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55" xfId="0" applyBorder="1" applyAlignment="1">
      <alignment vertical="center"/>
    </xf>
    <xf numFmtId="0" fontId="5" fillId="3" borderId="60" xfId="0" applyFont="1" applyFill="1" applyBorder="1" applyAlignment="1">
      <alignment horizontal="center" vertical="center" wrapText="1"/>
    </xf>
    <xf numFmtId="0" fontId="5" fillId="3" borderId="61" xfId="0" applyFont="1" applyFill="1" applyBorder="1" applyAlignment="1">
      <alignment horizontal="center" vertical="center" wrapText="1"/>
    </xf>
    <xf numFmtId="0" fontId="8" fillId="3" borderId="59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4" fillId="0" borderId="62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55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8" fillId="0" borderId="6" xfId="0" applyFont="1" applyBorder="1" applyAlignment="1">
      <alignment vertical="center"/>
    </xf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/>
    </xf>
    <xf numFmtId="0" fontId="0" fillId="0" borderId="0" xfId="0" applyAlignment="1">
      <alignment horizontal="justify"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32" xfId="0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4" xfId="0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9" fillId="0" borderId="21" xfId="0" applyFont="1" applyBorder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0" fillId="0" borderId="2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</sheetNames>
    <sheetDataSet>
      <sheetData sheetId="0">
        <row r="5">
          <cell r="B5" t="str">
            <v>Hradec Králové</v>
          </cell>
        </row>
        <row r="9">
          <cell r="A9" t="str">
            <v>Adresa:</v>
          </cell>
        </row>
        <row r="39">
          <cell r="A39" t="str">
            <v>Hlavní rozhodčí:</v>
          </cell>
          <cell r="B39" t="str">
            <v>Mgr. Václav Scheiner</v>
          </cell>
        </row>
        <row r="41">
          <cell r="A41" t="str">
            <v>Tabulky:</v>
          </cell>
          <cell r="B41" t="str">
            <v>ing. Oldřich Holuša</v>
          </cell>
          <cell r="E41" t="str">
            <v>Lékař:</v>
          </cell>
          <cell r="G41" t="str">
            <v>MUDr. Lubomír Rydel</v>
          </cell>
        </row>
        <row r="42">
          <cell r="B42" t="str">
            <v>ing. Libor Bílek</v>
          </cell>
        </row>
        <row r="43">
          <cell r="B43"/>
          <cell r="E43" t="str">
            <v>Zást. SZČR:</v>
          </cell>
          <cell r="G43" t="str">
            <v>Belo Svitek</v>
          </cell>
        </row>
        <row r="44">
          <cell r="B44"/>
        </row>
        <row r="45">
          <cell r="A45" t="str">
            <v>Před. žíněnek:</v>
          </cell>
          <cell r="B45" t="str">
            <v>Milan Slončík</v>
          </cell>
          <cell r="E45" t="str">
            <v>Vyúčtoval:</v>
          </cell>
          <cell r="G45" t="str">
            <v>Belo Svitek</v>
          </cell>
        </row>
        <row r="46">
          <cell r="B46" t="str">
            <v>Robin Křenek</v>
          </cell>
        </row>
        <row r="47">
          <cell r="B47"/>
        </row>
        <row r="48">
          <cell r="B48"/>
        </row>
        <row r="49">
          <cell r="A49" t="str">
            <v>Rozhodčí:</v>
          </cell>
          <cell r="B49" t="str">
            <v>Martin Hakl</v>
          </cell>
          <cell r="E49" t="str">
            <v>Platit lékaře s rozhod.?</v>
          </cell>
          <cell r="H49" t="str">
            <v>NE</v>
          </cell>
        </row>
        <row r="50">
          <cell r="B50" t="str">
            <v>Petr Skalický</v>
          </cell>
        </row>
        <row r="51">
          <cell r="B51" t="str">
            <v>František Maňásek</v>
          </cell>
          <cell r="E51" t="str">
            <v>Platit ZS s rozhodčími?</v>
          </cell>
          <cell r="H51" t="str">
            <v>ANO</v>
          </cell>
        </row>
        <row r="52">
          <cell r="B52" t="str">
            <v>ing. Josef Školník</v>
          </cell>
        </row>
        <row r="53">
          <cell r="B53" t="str">
            <v>Vladimír Komorný</v>
          </cell>
          <cell r="E53" t="str">
            <v>Platit účtaře s rozhod.?</v>
          </cell>
          <cell r="H53" t="str">
            <v>ANO</v>
          </cell>
        </row>
        <row r="54">
          <cell r="A54">
            <v>25</v>
          </cell>
          <cell r="B54" t="str">
            <v>Aleš Nový</v>
          </cell>
        </row>
        <row r="55">
          <cell r="B55" t="str">
            <v>Jiří Soukup</v>
          </cell>
        </row>
        <row r="56">
          <cell r="B56" t="str">
            <v>Jiří Zachariáš</v>
          </cell>
        </row>
        <row r="58">
          <cell r="A58" t="str">
            <v>Stravné do 12 hod</v>
          </cell>
        </row>
        <row r="59">
          <cell r="A59">
            <v>66</v>
          </cell>
        </row>
        <row r="61">
          <cell r="A61" t="str">
            <v>Stravné 12 až 18 hod</v>
          </cell>
        </row>
        <row r="62">
          <cell r="A62">
            <v>100</v>
          </cell>
        </row>
        <row r="64">
          <cell r="A64" t="str">
            <v>Stravné nad 18 hod</v>
          </cell>
        </row>
        <row r="65">
          <cell r="A65">
            <v>157</v>
          </cell>
        </row>
      </sheetData>
      <sheetData sheetId="1">
        <row r="3">
          <cell r="B3" t="str">
            <v>MČR seniorů a seniorek</v>
          </cell>
          <cell r="D3" t="str">
            <v>Hradec Králové</v>
          </cell>
          <cell r="G3" t="str">
            <v>02.11.2013</v>
          </cell>
        </row>
        <row r="7">
          <cell r="B7" t="str">
            <v>Hradec Králové, 02.11.2013</v>
          </cell>
        </row>
        <row r="8">
          <cell r="F8" t="str">
            <v xml:space="preserve"> T.J. Sokol Hradec Králové</v>
          </cell>
        </row>
        <row r="10">
          <cell r="Z10">
            <v>350</v>
          </cell>
          <cell r="AD10" t="str">
            <v>AUV</v>
          </cell>
          <cell r="AE10" t="str">
            <v>hlavní rozhodčí</v>
          </cell>
          <cell r="AH10" t="str">
            <v/>
          </cell>
        </row>
        <row r="11">
          <cell r="Z11">
            <v>330</v>
          </cell>
          <cell r="AD11" t="str">
            <v>AUV</v>
          </cell>
          <cell r="AE11" t="str">
            <v>tabulky</v>
          </cell>
          <cell r="AH11" t="str">
            <v/>
          </cell>
        </row>
        <row r="12">
          <cell r="Z12">
            <v>330</v>
          </cell>
          <cell r="AD12" t="str">
            <v>AUV</v>
          </cell>
          <cell r="AE12" t="str">
            <v>tabulky</v>
          </cell>
          <cell r="AH12" t="str">
            <v/>
          </cell>
        </row>
        <row r="13">
          <cell r="Z13">
            <v>330</v>
          </cell>
          <cell r="AD13" t="str">
            <v>AUV</v>
          </cell>
          <cell r="AE13" t="str">
            <v>před. žíněnky</v>
          </cell>
          <cell r="AH13" t="str">
            <v/>
          </cell>
        </row>
        <row r="14">
          <cell r="Z14">
            <v>330</v>
          </cell>
          <cell r="AD14" t="str">
            <v>AUV</v>
          </cell>
          <cell r="AE14" t="str">
            <v>před. žíněnky</v>
          </cell>
          <cell r="AH14" t="str">
            <v/>
          </cell>
        </row>
        <row r="15">
          <cell r="Z15">
            <v>300</v>
          </cell>
          <cell r="AD15" t="str">
            <v>AUV</v>
          </cell>
          <cell r="AE15" t="str">
            <v>rozhodčí</v>
          </cell>
          <cell r="AH15" t="str">
            <v/>
          </cell>
        </row>
        <row r="16">
          <cell r="Z16">
            <v>300</v>
          </cell>
          <cell r="AD16" t="str">
            <v>AUV</v>
          </cell>
          <cell r="AE16" t="str">
            <v>rozhodčí</v>
          </cell>
          <cell r="AH16" t="str">
            <v/>
          </cell>
        </row>
        <row r="17">
          <cell r="Z17">
            <v>300</v>
          </cell>
          <cell r="AD17" t="str">
            <v>AUV</v>
          </cell>
          <cell r="AE17" t="str">
            <v>rozhodčí</v>
          </cell>
          <cell r="AH17" t="str">
            <v/>
          </cell>
        </row>
        <row r="18">
          <cell r="Z18">
            <v>300</v>
          </cell>
          <cell r="AD18" t="str">
            <v>AUV</v>
          </cell>
          <cell r="AE18" t="str">
            <v>rozhodčí</v>
          </cell>
          <cell r="AH18" t="str">
            <v/>
          </cell>
        </row>
        <row r="19">
          <cell r="Z19">
            <v>300</v>
          </cell>
          <cell r="AD19" t="str">
            <v>AUV</v>
          </cell>
          <cell r="AE19" t="str">
            <v>rozhodčí</v>
          </cell>
          <cell r="AH19" t="str">
            <v/>
          </cell>
        </row>
        <row r="20">
          <cell r="Z20">
            <v>300</v>
          </cell>
          <cell r="AD20" t="str">
            <v>AUV</v>
          </cell>
          <cell r="AE20" t="str">
            <v>rozhodčí</v>
          </cell>
          <cell r="AH20" t="str">
            <v/>
          </cell>
        </row>
        <row r="21">
          <cell r="Z21">
            <v>300</v>
          </cell>
          <cell r="AD21" t="str">
            <v>AUV</v>
          </cell>
          <cell r="AE21" t="str">
            <v>rozhodčí</v>
          </cell>
          <cell r="AH21" t="str">
            <v/>
          </cell>
        </row>
        <row r="22">
          <cell r="Z22">
            <v>300</v>
          </cell>
          <cell r="AD22" t="str">
            <v>AUV</v>
          </cell>
          <cell r="AE22" t="str">
            <v>rozhodčí</v>
          </cell>
          <cell r="AH22" t="str">
            <v/>
          </cell>
        </row>
        <row r="23">
          <cell r="Z23">
            <v>350</v>
          </cell>
          <cell r="AD23" t="str">
            <v>AUV</v>
          </cell>
          <cell r="AE23" t="str">
            <v>zást. svazu</v>
          </cell>
          <cell r="AH23" t="str">
            <v/>
          </cell>
        </row>
        <row r="24">
          <cell r="Z24">
            <v>400</v>
          </cell>
          <cell r="AD24" t="str">
            <v>AUV</v>
          </cell>
          <cell r="AE24" t="str">
            <v>vyúčtoval</v>
          </cell>
          <cell r="AH24" t="str">
            <v/>
          </cell>
        </row>
        <row r="25">
          <cell r="Z25" t="str">
            <v/>
          </cell>
          <cell r="AD25" t="str">
            <v>xxx</v>
          </cell>
          <cell r="AE25" t="str">
            <v>xxx</v>
          </cell>
          <cell r="AH25" t="str">
            <v>xxx</v>
          </cell>
        </row>
        <row r="26">
          <cell r="Z26" t="str">
            <v/>
          </cell>
          <cell r="AD26" t="str">
            <v>xxx</v>
          </cell>
          <cell r="AE26" t="str">
            <v>xxx</v>
          </cell>
          <cell r="AH26" t="str">
            <v>xxx</v>
          </cell>
        </row>
        <row r="27">
          <cell r="Z27" t="str">
            <v/>
          </cell>
          <cell r="AD27" t="str">
            <v>xxx</v>
          </cell>
          <cell r="AE27" t="str">
            <v>xxx</v>
          </cell>
          <cell r="AH27" t="str">
            <v>xxx</v>
          </cell>
        </row>
        <row r="28">
          <cell r="Z28" t="str">
            <v/>
          </cell>
          <cell r="AD28" t="str">
            <v>xxx</v>
          </cell>
          <cell r="AE28" t="str">
            <v>xxx</v>
          </cell>
          <cell r="AH28" t="str">
            <v>xxx</v>
          </cell>
        </row>
        <row r="40">
          <cell r="C40" t="str">
            <v>Belo Svitek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– klasické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9"/>
  <sheetViews>
    <sheetView zoomScaleSheetLayoutView="100" workbookViewId="0">
      <selection activeCell="Q1" sqref="Q1:AE1"/>
    </sheetView>
  </sheetViews>
  <sheetFormatPr defaultRowHeight="15.75" x14ac:dyDescent="0.25"/>
  <cols>
    <col min="1" max="1" width="20.875" customWidth="1"/>
    <col min="2" max="2" width="9.25" customWidth="1"/>
    <col min="3" max="3" width="3.5" customWidth="1"/>
    <col min="4" max="4" width="4.75" customWidth="1"/>
    <col min="5" max="5" width="9.875" bestFit="1" customWidth="1"/>
    <col min="6" max="10" width="9.875" customWidth="1"/>
    <col min="15" max="15" width="9" hidden="1" customWidth="1"/>
    <col min="16" max="16" width="14.125" style="3" customWidth="1"/>
    <col min="17" max="17" width="22.125" customWidth="1"/>
    <col min="18" max="18" width="8.25" customWidth="1"/>
    <col min="19" max="19" width="8.125" customWidth="1"/>
    <col min="21" max="21" width="9.25" customWidth="1"/>
    <col min="22" max="22" width="9.25" bestFit="1" customWidth="1"/>
    <col min="23" max="23" width="9.25" customWidth="1"/>
    <col min="24" max="24" width="9.5" customWidth="1"/>
    <col min="25" max="26" width="8.625" customWidth="1"/>
    <col min="27" max="27" width="8.625" hidden="1" customWidth="1"/>
    <col min="28" max="28" width="9.75" customWidth="1"/>
    <col min="29" max="29" width="9.5" customWidth="1"/>
    <col min="36" max="44" width="9" style="93" hidden="1" customWidth="1"/>
    <col min="45" max="45" width="12.25" style="93" hidden="1" customWidth="1"/>
    <col min="46" max="46" width="9" style="93" hidden="1" customWidth="1"/>
    <col min="47" max="49" width="9" style="94" hidden="1" customWidth="1"/>
    <col min="50" max="51" width="11.625" style="94" hidden="1" customWidth="1"/>
    <col min="52" max="57" width="9" style="94" hidden="1" customWidth="1"/>
    <col min="58" max="69" width="9" style="94"/>
  </cols>
  <sheetData>
    <row r="1" spans="1:69" ht="57.75" customHeight="1" x14ac:dyDescent="0.25">
      <c r="F1" s="164" t="s">
        <v>27</v>
      </c>
      <c r="G1" s="19"/>
      <c r="K1" s="164" t="s">
        <v>31</v>
      </c>
      <c r="L1" s="164" t="s">
        <v>32</v>
      </c>
      <c r="M1" s="164" t="s">
        <v>33</v>
      </c>
      <c r="N1" s="163" t="s">
        <v>24</v>
      </c>
      <c r="Q1" s="161" t="s">
        <v>26</v>
      </c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BC1" s="94" t="str">
        <f>[1]Soutěž!$E$41</f>
        <v>Lékař:</v>
      </c>
      <c r="BD1" s="94">
        <f>LEN(BC1)</f>
        <v>6</v>
      </c>
      <c r="BE1" s="94" t="str">
        <f>MID(BC1,1,BD1-1)</f>
        <v>Lékař</v>
      </c>
    </row>
    <row r="2" spans="1:69" ht="24.95" customHeight="1" x14ac:dyDescent="0.4">
      <c r="F2" s="164"/>
      <c r="G2" s="19"/>
      <c r="I2" s="60" t="str">
        <f>Q25</f>
        <v xml:space="preserve">Celkem  : </v>
      </c>
      <c r="J2" s="61">
        <f>AC25</f>
        <v>13191</v>
      </c>
      <c r="K2" s="164"/>
      <c r="L2" s="164"/>
      <c r="M2" s="164"/>
      <c r="N2" s="163"/>
      <c r="Q2" s="154" t="s">
        <v>13</v>
      </c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J2" s="93" t="s">
        <v>28</v>
      </c>
      <c r="AK2" s="93">
        <f>[1]Soutěž!$A$54</f>
        <v>25</v>
      </c>
      <c r="BC2" s="94" t="str">
        <f>[1]Soutěž!$E$45</f>
        <v>Vyúčtoval:</v>
      </c>
      <c r="BD2" s="94">
        <f>LEN(BC2)</f>
        <v>10</v>
      </c>
      <c r="BE2" s="94" t="str">
        <f>MID(BC2,1,BD2-1)</f>
        <v>Vyúčtoval</v>
      </c>
    </row>
    <row r="3" spans="1:69" s="2" customFormat="1" ht="20.100000000000001" customHeight="1" x14ac:dyDescent="0.25">
      <c r="F3" s="164"/>
      <c r="G3" s="19"/>
      <c r="K3" s="164"/>
      <c r="L3" s="164"/>
      <c r="M3" s="164"/>
      <c r="N3" s="163"/>
      <c r="P3" s="64"/>
      <c r="Q3" s="1" t="s">
        <v>14</v>
      </c>
      <c r="R3" s="1" t="str">
        <f>'[1]Základní údaje'!$B$3</f>
        <v>MČR seniorů a seniorek</v>
      </c>
      <c r="S3" s="1"/>
      <c r="T3" s="1"/>
      <c r="U3" s="1"/>
      <c r="V3" s="1"/>
      <c r="W3" s="1"/>
      <c r="X3" s="160" t="s">
        <v>16</v>
      </c>
      <c r="Y3" s="160"/>
      <c r="Z3" s="160"/>
      <c r="AA3" s="14" t="str">
        <f>'[1]Základní údaje'!$D$3</f>
        <v>Hradec Králové</v>
      </c>
      <c r="AB3" s="1" t="str">
        <f>'[1]Základní údaje'!$D$3</f>
        <v>Hradec Králové</v>
      </c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  <c r="BM3" s="94"/>
      <c r="BN3" s="94"/>
      <c r="BO3" s="94"/>
      <c r="BP3" s="94"/>
      <c r="BQ3" s="94"/>
    </row>
    <row r="4" spans="1:69" s="2" customFormat="1" ht="28.5" customHeight="1" thickBot="1" x14ac:dyDescent="0.3">
      <c r="A4" s="165" t="s">
        <v>25</v>
      </c>
      <c r="B4" s="165"/>
      <c r="C4" s="65"/>
      <c r="D4" s="137"/>
      <c r="E4" s="162" t="s">
        <v>23</v>
      </c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63"/>
      <c r="Q4" s="1" t="s">
        <v>15</v>
      </c>
      <c r="R4" s="1" t="str">
        <f>'[1]Základní údaje'!$F$8</f>
        <v xml:space="preserve"> T.J. Sokol Hradec Králové</v>
      </c>
      <c r="S4" s="1"/>
      <c r="T4" s="1"/>
      <c r="U4" s="1"/>
      <c r="V4" s="1"/>
      <c r="W4" s="1"/>
      <c r="X4" s="159" t="s">
        <v>17</v>
      </c>
      <c r="Y4" s="159"/>
      <c r="Z4" s="159"/>
      <c r="AA4" s="15" t="str">
        <f>'[1]Základní údaje'!$G$3</f>
        <v>02.11.2013</v>
      </c>
      <c r="AB4" s="17" t="str">
        <f>'[1]Základní údaje'!$G$3</f>
        <v>02.11.2013</v>
      </c>
      <c r="AJ4" s="95" t="str">
        <f>[1]Soutěž!$A$58</f>
        <v>Stravné do 12 hod</v>
      </c>
      <c r="AK4" s="93"/>
      <c r="AL4" s="97">
        <f>[1]Soutěž!$A$59</f>
        <v>66</v>
      </c>
      <c r="AM4" s="93" t="str">
        <f>[1]Soutěž!$A$61</f>
        <v>Stravné 12 až 18 hod</v>
      </c>
      <c r="AN4" s="93"/>
      <c r="AO4" s="97">
        <f>[1]Soutěž!$A$62</f>
        <v>100</v>
      </c>
      <c r="AP4" s="93" t="str">
        <f>[1]Soutěž!$A$64</f>
        <v>Stravné nad 18 hod</v>
      </c>
      <c r="AQ4" s="93"/>
      <c r="AR4" s="97">
        <f>[1]Soutěž!$A$65</f>
        <v>157</v>
      </c>
      <c r="AS4" s="93"/>
      <c r="AT4" s="94" t="s">
        <v>30</v>
      </c>
      <c r="AU4" s="94" t="s">
        <v>7</v>
      </c>
      <c r="AV4" s="94"/>
      <c r="AW4" s="94"/>
      <c r="AX4" s="94"/>
      <c r="AY4" s="94"/>
      <c r="AZ4" s="94" t="s">
        <v>29</v>
      </c>
      <c r="BA4" s="94"/>
      <c r="BB4" s="94" t="str">
        <f>AU4</f>
        <v>stravné</v>
      </c>
      <c r="BC4" s="94"/>
      <c r="BD4" s="94"/>
      <c r="BE4" s="94" t="str">
        <f>BB4</f>
        <v>stravné</v>
      </c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</row>
    <row r="5" spans="1:69" ht="22.15" customHeight="1" thickTop="1" thickBot="1" x14ac:dyDescent="0.3">
      <c r="A5" s="74" t="str">
        <f>Q5</f>
        <v>Jméno</v>
      </c>
      <c r="B5" s="75" t="str">
        <f>W5</f>
        <v>funkce</v>
      </c>
      <c r="C5" s="76"/>
      <c r="D5" s="142" t="s">
        <v>201</v>
      </c>
      <c r="E5" s="77" t="str">
        <f>R5</f>
        <v>čís. OP</v>
      </c>
      <c r="F5" s="78" t="str">
        <f>S5</f>
        <v>dopravní prostředek</v>
      </c>
      <c r="G5" s="79" t="str">
        <f>O5</f>
        <v>SPZ</v>
      </c>
      <c r="H5" s="80" t="str">
        <f>T5</f>
        <v>bydliště</v>
      </c>
      <c r="I5" s="80" t="str">
        <f>U5</f>
        <v>odjezd z bydlíště</v>
      </c>
      <c r="J5" s="81" t="str">
        <f>V5</f>
        <v>příjezd do bydlíště</v>
      </c>
      <c r="K5" s="82" t="str">
        <f>X5</f>
        <v>cestovné</v>
      </c>
      <c r="L5" s="83" t="str">
        <f>Y5</f>
        <v>stravné</v>
      </c>
      <c r="M5" s="84" t="str">
        <f>Z5</f>
        <v>nocležné</v>
      </c>
      <c r="N5" s="85" t="str">
        <f>AB5</f>
        <v>za výkon funkce</v>
      </c>
      <c r="O5" s="68" t="str">
        <f>AD5</f>
        <v>SPZ</v>
      </c>
      <c r="P5" s="69"/>
      <c r="Q5" s="27" t="s">
        <v>0</v>
      </c>
      <c r="R5" s="33" t="s">
        <v>1</v>
      </c>
      <c r="S5" s="34" t="s">
        <v>2</v>
      </c>
      <c r="T5" s="35" t="s">
        <v>3</v>
      </c>
      <c r="U5" s="36" t="s">
        <v>4</v>
      </c>
      <c r="V5" s="37" t="s">
        <v>5</v>
      </c>
      <c r="W5" s="38" t="s">
        <v>22</v>
      </c>
      <c r="X5" s="39" t="s">
        <v>6</v>
      </c>
      <c r="Y5" s="35" t="s">
        <v>7</v>
      </c>
      <c r="Z5" s="35" t="s">
        <v>8</v>
      </c>
      <c r="AA5" s="40" t="s">
        <v>21</v>
      </c>
      <c r="AB5" s="41" t="s">
        <v>9</v>
      </c>
      <c r="AC5" s="42" t="s">
        <v>10</v>
      </c>
      <c r="AD5" s="43" t="s">
        <v>11</v>
      </c>
      <c r="AE5" s="44" t="s">
        <v>12</v>
      </c>
    </row>
    <row r="6" spans="1:69" ht="23.1" customHeight="1" x14ac:dyDescent="0.25">
      <c r="A6" s="86" t="str">
        <f>Q6</f>
        <v>Mgr. Václav Scheiner</v>
      </c>
      <c r="B6" s="87" t="str">
        <f>W6</f>
        <v>hlavní rozhodčí</v>
      </c>
      <c r="C6" s="88" t="str">
        <f>IF(A6="xxx","",(IF(E6="","!!!","")))</f>
        <v/>
      </c>
      <c r="D6" s="140"/>
      <c r="E6" s="28">
        <f>IF(('Údaje o rozhodčích'!BR3)="","",('Údaje o rozhodčích'!BR3))</f>
        <v>113075831</v>
      </c>
      <c r="F6" s="58" t="str">
        <f>IF(('Údaje o rozhodčích'!BT3)="","",('Údaje o rozhodčích'!BT3))</f>
        <v>AUV</v>
      </c>
      <c r="G6" s="66" t="str">
        <f>IF(('Údaje o rozhodčích'!BU3)="","",('Údaje o rozhodčích'!BU3))</f>
        <v>2SJ 7535</v>
      </c>
      <c r="H6" s="101" t="str">
        <f>IF(('Údaje o rozhodčích'!BS3)="","",('Údaje o rozhodčích'!BS3))</f>
        <v>Mnichovice</v>
      </c>
      <c r="I6" s="8" t="s">
        <v>220</v>
      </c>
      <c r="J6" s="9" t="s">
        <v>221</v>
      </c>
      <c r="K6" s="24">
        <v>346</v>
      </c>
      <c r="L6" s="25"/>
      <c r="M6" s="23"/>
      <c r="N6" s="23"/>
      <c r="O6" s="70" t="str">
        <f>IF(G6="","",G6)</f>
        <v>2SJ 7535</v>
      </c>
      <c r="P6" s="71"/>
      <c r="Q6" s="45" t="str">
        <f>IF(('Údaje o rozhodčích'!BQ3)="","xxx",('Údaje o rozhodčích'!BQ3))</f>
        <v>Mgr. Václav Scheiner</v>
      </c>
      <c r="R6" s="22">
        <f>IF(Q6="xxx","xxx",(IF(E6="","? ? ? ? ?",E6)))</f>
        <v>113075831</v>
      </c>
      <c r="S6" s="20" t="str">
        <f>IF(Q6="xxx","xxx",(IF(F6="",('[1]Základní údaje'!$AD10),F6)))</f>
        <v>AUV</v>
      </c>
      <c r="T6" s="59" t="str">
        <f>IF(Q6="xxx","xxx",(IF(H6="","xxx",H6)))</f>
        <v>Mnichovice</v>
      </c>
      <c r="U6" s="59" t="str">
        <f>IF(Q6="xxx","xxx",(IF(I6="","xxx",I6)))</f>
        <v>2.11.2013  5,00 hod</v>
      </c>
      <c r="V6" s="59" t="str">
        <f>IF(Q6="xxx","xxx",(IF(J6="","xxx",J6)))</f>
        <v>2.11.2013  18,00 hod</v>
      </c>
      <c r="W6" s="18" t="str">
        <f>'[1]Základní údaje'!$AE10</f>
        <v>hlavní rozhodčí</v>
      </c>
      <c r="X6" s="6">
        <f>IF(D6="",(IF(S6=$AJ$2,($AK$2)*2,(IF(Q6="xxx",0,(IF(K6="",0,IF((K6)="",0,K6))))))),0)</f>
        <v>346</v>
      </c>
      <c r="Y6" s="4">
        <f>IF(L6="",(BE6),L6)</f>
        <v>100</v>
      </c>
      <c r="Z6" s="4">
        <f>IF(Q6="xxx",0,(IF(M6="",0,M6)))</f>
        <v>0</v>
      </c>
      <c r="AA6" s="10"/>
      <c r="AB6" s="5">
        <f>IF(Q6="xxx",0,(IF(N6="",'[1]Základní údaje'!$Z10,N6)))</f>
        <v>350</v>
      </c>
      <c r="AC6" s="7">
        <f t="shared" ref="AC6:AC24" si="0">AB6+AA6+Z6+Y6+X6</f>
        <v>796</v>
      </c>
      <c r="AD6" s="73" t="str">
        <f>IF(Q6="xxx","xxx",(IF(G6="","xxx",G6)))</f>
        <v>2SJ 7535</v>
      </c>
      <c r="AE6" s="46" t="str">
        <f>'[1]Základní údaje'!$AH10</f>
        <v/>
      </c>
      <c r="AJ6" s="93" t="str">
        <f>IF((U6)="xxx",0,U6)</f>
        <v>2.11.2013  5,00 hod</v>
      </c>
      <c r="AL6" s="93">
        <f>LEN(AJ6)</f>
        <v>19</v>
      </c>
      <c r="AN6" s="93" t="str">
        <f>IF((V6)="xxx",0,V6)</f>
        <v>2.11.2013  18,00 hod</v>
      </c>
      <c r="AP6" s="93">
        <f>LEN(AN6)</f>
        <v>20</v>
      </c>
      <c r="AR6" s="96">
        <f>IF(AL6=1,0,(VALUE(MID(AJ6,AL6-8,5))))</f>
        <v>5</v>
      </c>
      <c r="AS6" s="96">
        <f>IF(AL6=1,0,(VALUE(MID(AN6,AP6-8,5))))</f>
        <v>18</v>
      </c>
      <c r="AT6" s="96">
        <f>AS6-AR6</f>
        <v>13</v>
      </c>
      <c r="AU6" s="97">
        <f>IF(AT6=0,0,(IF(AT6&gt;=18,$AR$4,IF(AT6&gt;=12,$AO$4,$AL$4))))</f>
        <v>100</v>
      </c>
      <c r="AV6" s="98">
        <f>IF(AZ6=1,0,1)</f>
        <v>1</v>
      </c>
      <c r="AX6" s="94" t="str">
        <f>MID(AJ6,1,10)</f>
        <v xml:space="preserve">2.11.2013 </v>
      </c>
      <c r="AY6" s="94" t="str">
        <f>MID(AN6,1,10)</f>
        <v xml:space="preserve">2.11.2013 </v>
      </c>
      <c r="AZ6" s="94">
        <f>IF(AX6=AY6,0,1)</f>
        <v>0</v>
      </c>
      <c r="BA6" s="97">
        <f>24-AT6</f>
        <v>11</v>
      </c>
      <c r="BB6" s="97">
        <f>IF(BA6=0,0,(IF(BA6&gt;=18,$AR$4,IF(BA6&gt;=12,$AO$4,$AL$4))))*AZ6</f>
        <v>0</v>
      </c>
      <c r="BC6" s="97">
        <f>IF(AZ6=0,0,(IF(AS6&gt;=18,$AR$4,IF(AS6&gt;=12,$AO$4,$AL$4))))*AZ6</f>
        <v>0</v>
      </c>
      <c r="BE6" s="97">
        <f>IF(W6=$BE$2,0,(IF(W6=$BE$1,IF(K6="",0,AU6*AV6+(BB6+BC6)*AZ6),(AU6*AV6+(BB6+BC6)*AZ6))))</f>
        <v>100</v>
      </c>
    </row>
    <row r="7" spans="1:69" ht="23.1" customHeight="1" x14ac:dyDescent="0.25">
      <c r="A7" s="89" t="str">
        <f t="shared" ref="A7:A24" si="1">Q7</f>
        <v>ing. Oldřich Holuša</v>
      </c>
      <c r="B7" s="87" t="str">
        <f t="shared" ref="B7:B24" si="2">W7</f>
        <v>tabulky</v>
      </c>
      <c r="C7" s="88" t="str">
        <f t="shared" ref="C7:C24" si="3">IF(A7="xxx","",(IF(E7="","!!!","")))</f>
        <v/>
      </c>
      <c r="D7" s="140"/>
      <c r="E7" s="28">
        <f>IF(('Údaje o rozhodčích'!BR4)="","",('Údaje o rozhodčích'!BR4))</f>
        <v>200207425</v>
      </c>
      <c r="F7" s="58" t="str">
        <f>IF(('Údaje o rozhodčích'!BT4)="","",('Údaje o rozhodčích'!BT4))</f>
        <v>AUV</v>
      </c>
      <c r="G7" s="66" t="str">
        <f>IF(('Údaje o rozhodčích'!BU4)="","",('Údaje o rozhodčích'!BU4))</f>
        <v>4T8 8124</v>
      </c>
      <c r="H7" s="101" t="str">
        <f>IF(('Údaje o rozhodčích'!BS4)="","",('Údaje o rozhodčích'!BS4))</f>
        <v>Ostrava</v>
      </c>
      <c r="I7" s="8" t="s">
        <v>223</v>
      </c>
      <c r="J7" s="9" t="s">
        <v>219</v>
      </c>
      <c r="K7" s="24">
        <v>730</v>
      </c>
      <c r="L7" s="25"/>
      <c r="M7" s="26"/>
      <c r="N7" s="26"/>
      <c r="O7" s="70" t="str">
        <f t="shared" ref="O7:O24" si="4">IF(G7="","",G7)</f>
        <v>4T8 8124</v>
      </c>
      <c r="P7" s="71"/>
      <c r="Q7" s="45" t="str">
        <f>IF(('Údaje o rozhodčích'!BQ4)="","xxx",('Údaje o rozhodčích'!BQ4))</f>
        <v>ing. Oldřich Holuša</v>
      </c>
      <c r="R7" s="22">
        <f t="shared" ref="R7:R24" si="5">IF(Q7="xxx","xxx",(IF(E7="","? ? ? ? ?",E7)))</f>
        <v>200207425</v>
      </c>
      <c r="S7" s="20" t="str">
        <f>IF(Q7="xxx","xxx",(IF(F7="",('[1]Základní údaje'!$AD11),F7)))</f>
        <v>AUV</v>
      </c>
      <c r="T7" s="59" t="str">
        <f t="shared" ref="T7:T24" si="6">IF(Q7="xxx","xxx",(IF(H7="","xxx",H7)))</f>
        <v>Ostrava</v>
      </c>
      <c r="U7" s="59" t="str">
        <f t="shared" ref="U7:U24" si="7">IF(Q7="xxx","xxx",(IF(I7="","xxx",I7)))</f>
        <v>1.11.2013  11,00 hod</v>
      </c>
      <c r="V7" s="59" t="str">
        <f t="shared" ref="V7:V24" si="8">IF(Q7="xxx","xxx",(IF(J7="","xxx",J7)))</f>
        <v>2.11.2013  19,00 hod</v>
      </c>
      <c r="W7" s="18" t="str">
        <f>'[1]Základní údaje'!$AE11</f>
        <v>tabulky</v>
      </c>
      <c r="X7" s="6">
        <f t="shared" ref="X7:X24" si="9">IF(D7="",(IF(S7=$AJ$2,($AK$2)*2,(IF(Q7="xxx",0,(IF(K7="",0,IF((K7)="",0,K7))))))),0)</f>
        <v>730</v>
      </c>
      <c r="Y7" s="4">
        <f>IF(L7="",(BE7),L7)</f>
        <v>257</v>
      </c>
      <c r="Z7" s="4">
        <f t="shared" ref="Z7:Z24" si="10">IF(Q7="xxx",0,(IF(M7="",0,M7)))</f>
        <v>0</v>
      </c>
      <c r="AA7" s="5"/>
      <c r="AB7" s="5">
        <f>IF(Q7="xxx",0,(IF(N7="",'[1]Základní údaje'!$Z11,N7)))</f>
        <v>330</v>
      </c>
      <c r="AC7" s="7">
        <f t="shared" si="0"/>
        <v>1317</v>
      </c>
      <c r="AD7" s="73" t="str">
        <f t="shared" ref="AD7:AD24" si="11">IF(Q7="xxx","xxx",(IF(G7="","xxx",G7)))</f>
        <v>4T8 8124</v>
      </c>
      <c r="AE7" s="46" t="str">
        <f>'[1]Základní údaje'!$AH11</f>
        <v/>
      </c>
      <c r="AJ7" s="93" t="str">
        <f t="shared" ref="AJ7:AJ24" si="12">IF((U7)="xxx",0,U7)</f>
        <v>1.11.2013  11,00 hod</v>
      </c>
      <c r="AL7" s="93">
        <f t="shared" ref="AL7:AL24" si="13">LEN(AJ7)</f>
        <v>20</v>
      </c>
      <c r="AN7" s="93" t="str">
        <f t="shared" ref="AN7:AN24" si="14">IF((V7)="xxx",0,V7)</f>
        <v>2.11.2013  19,00 hod</v>
      </c>
      <c r="AP7" s="93">
        <f t="shared" ref="AP7:AP24" si="15">LEN(AN7)</f>
        <v>20</v>
      </c>
      <c r="AR7" s="96">
        <f t="shared" ref="AR7:AR24" si="16">IF(AL7=1,0,(VALUE(MID(AJ7,AL7-8,5))))</f>
        <v>11</v>
      </c>
      <c r="AS7" s="96">
        <f t="shared" ref="AS7:AS24" si="17">IF(AL7=1,0,(VALUE(MID(AN7,AP7-8,5))))</f>
        <v>19</v>
      </c>
      <c r="AT7" s="96">
        <f t="shared" ref="AT7:AT24" si="18">AS7-AR7</f>
        <v>8</v>
      </c>
      <c r="AU7" s="97">
        <f t="shared" ref="AU7:AU24" si="19">IF(AT7=0,0,(IF(AT7&gt;=18,$AR$4,IF(AT7&gt;=12,$AO$4,$AL$4))))</f>
        <v>66</v>
      </c>
      <c r="AV7" s="98">
        <f t="shared" ref="AV7:AV24" si="20">IF(AZ7=1,0,1)</f>
        <v>0</v>
      </c>
      <c r="AX7" s="94" t="str">
        <f t="shared" ref="AX7:AX24" si="21">MID(AJ7,1,10)</f>
        <v xml:space="preserve">1.11.2013 </v>
      </c>
      <c r="AY7" s="94" t="str">
        <f t="shared" ref="AY7:AY24" si="22">MID(AN7,1,10)</f>
        <v xml:space="preserve">2.11.2013 </v>
      </c>
      <c r="AZ7" s="94">
        <f t="shared" ref="AZ7:AZ24" si="23">IF(AX7=AY7,0,1)</f>
        <v>1</v>
      </c>
      <c r="BA7" s="97">
        <f t="shared" ref="BA7:BA24" si="24">24-AT7</f>
        <v>16</v>
      </c>
      <c r="BB7" s="97">
        <f t="shared" ref="BB7:BB24" si="25">IF(BA7=0,0,(IF(BA7&gt;=18,$AR$4,IF(BA7&gt;=12,$AO$4,$AL$4))))*AZ7</f>
        <v>100</v>
      </c>
      <c r="BC7" s="97">
        <f t="shared" ref="BC7:BC24" si="26">IF(AZ7=0,0,(IF(AS7&gt;=18,$AR$4,IF(AS7&gt;=12,$AO$4,$AL$4))))*AZ7</f>
        <v>157</v>
      </c>
      <c r="BE7" s="97">
        <f t="shared" ref="BE7:BE24" si="27">IF(W7=$BE$2,0,(IF(W7=$BE$1,IF(K7="",0,AU7*AV7+(BB7+BC7)*AZ7),(AU7*AV7+(BB7+BC7)*AZ7))))</f>
        <v>257</v>
      </c>
    </row>
    <row r="8" spans="1:69" ht="23.1" customHeight="1" x14ac:dyDescent="0.25">
      <c r="A8" s="89" t="str">
        <f t="shared" si="1"/>
        <v>ing. Libor Bílek</v>
      </c>
      <c r="B8" s="87" t="str">
        <f t="shared" si="2"/>
        <v>tabulky</v>
      </c>
      <c r="C8" s="88" t="str">
        <f t="shared" si="3"/>
        <v/>
      </c>
      <c r="D8" s="140"/>
      <c r="E8" s="28">
        <f>IF(('Údaje o rozhodčích'!BR5)="","",('Údaje o rozhodčích'!BR5))</f>
        <v>202754710</v>
      </c>
      <c r="F8" s="58" t="str">
        <f>IF(('Údaje o rozhodčích'!BT5)="","",('Údaje o rozhodčích'!BT5))</f>
        <v>AUV</v>
      </c>
      <c r="G8" s="66" t="str">
        <f>IF(('Údaje o rozhodčích'!BU5)="","",('Údaje o rozhodčích'!BU5))</f>
        <v>4J0 9631</v>
      </c>
      <c r="H8" s="101" t="str">
        <f>IF(('Údaje o rozhodčích'!BS5)="","",('Údaje o rozhodčích'!BS5))</f>
        <v>Jihlava</v>
      </c>
      <c r="I8" s="8" t="s">
        <v>220</v>
      </c>
      <c r="J8" s="9" t="s">
        <v>221</v>
      </c>
      <c r="K8" s="24">
        <v>446</v>
      </c>
      <c r="L8" s="25"/>
      <c r="M8" s="26"/>
      <c r="N8" s="26"/>
      <c r="O8" s="70" t="str">
        <f t="shared" si="4"/>
        <v>4J0 9631</v>
      </c>
      <c r="P8" s="71"/>
      <c r="Q8" s="45" t="str">
        <f>IF(('Údaje o rozhodčích'!BQ5)="","xxx",('Údaje o rozhodčích'!BQ5))</f>
        <v>ing. Libor Bílek</v>
      </c>
      <c r="R8" s="22">
        <f t="shared" si="5"/>
        <v>202754710</v>
      </c>
      <c r="S8" s="20" t="str">
        <f>IF(Q8="xxx","xxx",(IF(F8="",('[1]Základní údaje'!$AD12),F8)))</f>
        <v>AUV</v>
      </c>
      <c r="T8" s="59" t="str">
        <f t="shared" si="6"/>
        <v>Jihlava</v>
      </c>
      <c r="U8" s="59" t="str">
        <f t="shared" si="7"/>
        <v>2.11.2013  5,00 hod</v>
      </c>
      <c r="V8" s="59" t="str">
        <f t="shared" si="8"/>
        <v>2.11.2013  18,00 hod</v>
      </c>
      <c r="W8" s="18" t="str">
        <f>'[1]Základní údaje'!$AE12</f>
        <v>tabulky</v>
      </c>
      <c r="X8" s="6">
        <f t="shared" si="9"/>
        <v>446</v>
      </c>
      <c r="Y8" s="4">
        <f t="shared" ref="Y8:Y24" si="28">IF(L8="",(BE8),L8)</f>
        <v>100</v>
      </c>
      <c r="Z8" s="4">
        <f t="shared" si="10"/>
        <v>0</v>
      </c>
      <c r="AA8" s="5"/>
      <c r="AB8" s="5">
        <f>IF(Q8="xxx",0,(IF(N8="",'[1]Základní údaje'!$Z12,N8)))</f>
        <v>330</v>
      </c>
      <c r="AC8" s="7">
        <f t="shared" si="0"/>
        <v>876</v>
      </c>
      <c r="AD8" s="73" t="str">
        <f t="shared" si="11"/>
        <v>4J0 9631</v>
      </c>
      <c r="AE8" s="46" t="str">
        <f>'[1]Základní údaje'!$AH12</f>
        <v/>
      </c>
      <c r="AJ8" s="93" t="str">
        <f t="shared" si="12"/>
        <v>2.11.2013  5,00 hod</v>
      </c>
      <c r="AL8" s="93">
        <f t="shared" si="13"/>
        <v>19</v>
      </c>
      <c r="AN8" s="93" t="str">
        <f t="shared" si="14"/>
        <v>2.11.2013  18,00 hod</v>
      </c>
      <c r="AP8" s="93">
        <f t="shared" si="15"/>
        <v>20</v>
      </c>
      <c r="AR8" s="96">
        <f t="shared" si="16"/>
        <v>5</v>
      </c>
      <c r="AS8" s="96">
        <f t="shared" si="17"/>
        <v>18</v>
      </c>
      <c r="AT8" s="96">
        <f t="shared" si="18"/>
        <v>13</v>
      </c>
      <c r="AU8" s="97">
        <f t="shared" si="19"/>
        <v>100</v>
      </c>
      <c r="AV8" s="98">
        <f t="shared" si="20"/>
        <v>1</v>
      </c>
      <c r="AX8" s="94" t="str">
        <f t="shared" si="21"/>
        <v xml:space="preserve">2.11.2013 </v>
      </c>
      <c r="AY8" s="94" t="str">
        <f t="shared" si="22"/>
        <v xml:space="preserve">2.11.2013 </v>
      </c>
      <c r="AZ8" s="94">
        <f t="shared" si="23"/>
        <v>0</v>
      </c>
      <c r="BA8" s="97">
        <f t="shared" si="24"/>
        <v>11</v>
      </c>
      <c r="BB8" s="97">
        <f t="shared" si="25"/>
        <v>0</v>
      </c>
      <c r="BC8" s="97">
        <f t="shared" si="26"/>
        <v>0</v>
      </c>
      <c r="BE8" s="97">
        <f t="shared" si="27"/>
        <v>100</v>
      </c>
    </row>
    <row r="9" spans="1:69" ht="23.1" customHeight="1" x14ac:dyDescent="0.25">
      <c r="A9" s="89" t="str">
        <f t="shared" si="1"/>
        <v>Milan Slončík</v>
      </c>
      <c r="B9" s="87" t="str">
        <f t="shared" si="2"/>
        <v>před. žíněnky</v>
      </c>
      <c r="C9" s="88" t="str">
        <f t="shared" si="3"/>
        <v/>
      </c>
      <c r="D9" s="140"/>
      <c r="E9" s="28">
        <f>IF(('Údaje o rozhodčích'!BR6)="","",('Údaje o rozhodčích'!BR6))</f>
        <v>108767442</v>
      </c>
      <c r="F9" s="58" t="str">
        <f>IF(('Údaje o rozhodčích'!BT6)="","",('Údaje o rozhodčích'!BT6))</f>
        <v>AUV</v>
      </c>
      <c r="G9" s="66" t="str">
        <f>IF(('Údaje o rozhodčích'!BU6)="","",('Údaje o rozhodčích'!BU6))</f>
        <v>4T1 5873</v>
      </c>
      <c r="H9" s="101" t="str">
        <f>IF(('Údaje o rozhodčích'!BS6)="","",('Údaje o rozhodčích'!BS6))</f>
        <v>Havířov</v>
      </c>
      <c r="I9" s="8" t="s">
        <v>220</v>
      </c>
      <c r="J9" s="9" t="s">
        <v>221</v>
      </c>
      <c r="K9" s="24">
        <v>774</v>
      </c>
      <c r="L9" s="25"/>
      <c r="M9" s="26"/>
      <c r="N9" s="26"/>
      <c r="O9" s="70" t="str">
        <f t="shared" si="4"/>
        <v>4T1 5873</v>
      </c>
      <c r="P9" s="71"/>
      <c r="Q9" s="45" t="str">
        <f>IF(('Údaje o rozhodčích'!BQ6)="","xxx",('Údaje o rozhodčích'!BQ6))</f>
        <v>Milan Slončík</v>
      </c>
      <c r="R9" s="22">
        <f t="shared" si="5"/>
        <v>108767442</v>
      </c>
      <c r="S9" s="20" t="str">
        <f>IF(Q9="xxx","xxx",(IF(F9="",('[1]Základní údaje'!$AD13),F9)))</f>
        <v>AUV</v>
      </c>
      <c r="T9" s="59" t="str">
        <f t="shared" si="6"/>
        <v>Havířov</v>
      </c>
      <c r="U9" s="59" t="str">
        <f t="shared" si="7"/>
        <v>2.11.2013  5,00 hod</v>
      </c>
      <c r="V9" s="59" t="str">
        <f t="shared" si="8"/>
        <v>2.11.2013  18,00 hod</v>
      </c>
      <c r="W9" s="18" t="str">
        <f>'[1]Základní údaje'!$AE13</f>
        <v>před. žíněnky</v>
      </c>
      <c r="X9" s="6">
        <f t="shared" si="9"/>
        <v>774</v>
      </c>
      <c r="Y9" s="4">
        <f t="shared" si="28"/>
        <v>100</v>
      </c>
      <c r="Z9" s="4">
        <f t="shared" si="10"/>
        <v>0</v>
      </c>
      <c r="AA9" s="5"/>
      <c r="AB9" s="5">
        <f>IF(Q9="xxx",0,(IF(N9="",'[1]Základní údaje'!$Z13,N9)))</f>
        <v>330</v>
      </c>
      <c r="AC9" s="7">
        <f t="shared" si="0"/>
        <v>1204</v>
      </c>
      <c r="AD9" s="73" t="str">
        <f t="shared" si="11"/>
        <v>4T1 5873</v>
      </c>
      <c r="AE9" s="46" t="str">
        <f>'[1]Základní údaje'!$AH13</f>
        <v/>
      </c>
      <c r="AJ9" s="93" t="str">
        <f t="shared" si="12"/>
        <v>2.11.2013  5,00 hod</v>
      </c>
      <c r="AL9" s="93">
        <f t="shared" si="13"/>
        <v>19</v>
      </c>
      <c r="AN9" s="93" t="str">
        <f t="shared" si="14"/>
        <v>2.11.2013  18,00 hod</v>
      </c>
      <c r="AP9" s="93">
        <f t="shared" si="15"/>
        <v>20</v>
      </c>
      <c r="AR9" s="96">
        <f t="shared" si="16"/>
        <v>5</v>
      </c>
      <c r="AS9" s="96">
        <f t="shared" si="17"/>
        <v>18</v>
      </c>
      <c r="AT9" s="96">
        <f t="shared" si="18"/>
        <v>13</v>
      </c>
      <c r="AU9" s="97">
        <f t="shared" si="19"/>
        <v>100</v>
      </c>
      <c r="AV9" s="98">
        <f t="shared" si="20"/>
        <v>1</v>
      </c>
      <c r="AX9" s="94" t="str">
        <f t="shared" si="21"/>
        <v xml:space="preserve">2.11.2013 </v>
      </c>
      <c r="AY9" s="94" t="str">
        <f t="shared" si="22"/>
        <v xml:space="preserve">2.11.2013 </v>
      </c>
      <c r="AZ9" s="94">
        <f t="shared" si="23"/>
        <v>0</v>
      </c>
      <c r="BA9" s="97">
        <f t="shared" si="24"/>
        <v>11</v>
      </c>
      <c r="BB9" s="97">
        <f t="shared" si="25"/>
        <v>0</v>
      </c>
      <c r="BC9" s="97">
        <f t="shared" si="26"/>
        <v>0</v>
      </c>
      <c r="BE9" s="97">
        <f t="shared" si="27"/>
        <v>100</v>
      </c>
    </row>
    <row r="10" spans="1:69" ht="23.1" customHeight="1" x14ac:dyDescent="0.25">
      <c r="A10" s="89" t="str">
        <f t="shared" si="1"/>
        <v>Robin Křenek</v>
      </c>
      <c r="B10" s="87" t="str">
        <f t="shared" si="2"/>
        <v>před. žíněnky</v>
      </c>
      <c r="C10" s="88" t="str">
        <f t="shared" si="3"/>
        <v/>
      </c>
      <c r="D10" s="140"/>
      <c r="E10" s="28">
        <f>IF(('Údaje o rozhodčích'!BR7)="","",('Údaje o rozhodčích'!BR7))</f>
        <v>105643586</v>
      </c>
      <c r="F10" s="58" t="str">
        <f>IF(('Údaje o rozhodčích'!BT7)="","",('Údaje o rozhodčích'!BT7))</f>
        <v>AUV</v>
      </c>
      <c r="G10" s="66" t="str">
        <f>IF(('Údaje o rozhodčích'!BU7)="","",('Údaje o rozhodčích'!BU7))</f>
        <v>3J4 2075</v>
      </c>
      <c r="H10" s="101" t="str">
        <f>IF(('Údaje o rozhodčích'!BS7)="","",('Údaje o rozhodčích'!BS7))</f>
        <v>Jihlava</v>
      </c>
      <c r="I10" s="8" t="s">
        <v>220</v>
      </c>
      <c r="J10" s="9" t="s">
        <v>221</v>
      </c>
      <c r="K10" s="24">
        <v>380</v>
      </c>
      <c r="L10" s="25"/>
      <c r="M10" s="26"/>
      <c r="N10" s="26"/>
      <c r="O10" s="70" t="str">
        <f t="shared" si="4"/>
        <v>3J4 2075</v>
      </c>
      <c r="P10" s="71"/>
      <c r="Q10" s="45" t="str">
        <f>IF(('Údaje o rozhodčích'!BQ7)="","xxx",('Údaje o rozhodčích'!BQ7))</f>
        <v>Robin Křenek</v>
      </c>
      <c r="R10" s="22">
        <f t="shared" si="5"/>
        <v>105643586</v>
      </c>
      <c r="S10" s="20" t="str">
        <f>IF(Q10="xxx","xxx",(IF(F10="",('[1]Základní údaje'!$AD14),F10)))</f>
        <v>AUV</v>
      </c>
      <c r="T10" s="59" t="str">
        <f t="shared" si="6"/>
        <v>Jihlava</v>
      </c>
      <c r="U10" s="59" t="str">
        <f t="shared" si="7"/>
        <v>2.11.2013  5,00 hod</v>
      </c>
      <c r="V10" s="59" t="str">
        <f t="shared" si="8"/>
        <v>2.11.2013  18,00 hod</v>
      </c>
      <c r="W10" s="18" t="str">
        <f>'[1]Základní údaje'!$AE14</f>
        <v>před. žíněnky</v>
      </c>
      <c r="X10" s="6">
        <f t="shared" si="9"/>
        <v>380</v>
      </c>
      <c r="Y10" s="4">
        <f t="shared" si="28"/>
        <v>100</v>
      </c>
      <c r="Z10" s="4">
        <f t="shared" si="10"/>
        <v>0</v>
      </c>
      <c r="AA10" s="5"/>
      <c r="AB10" s="5">
        <f>IF(Q10="xxx",0,(IF(N10="",'[1]Základní údaje'!$Z14,N10)))</f>
        <v>330</v>
      </c>
      <c r="AC10" s="7">
        <f t="shared" si="0"/>
        <v>810</v>
      </c>
      <c r="AD10" s="73" t="str">
        <f t="shared" si="11"/>
        <v>3J4 2075</v>
      </c>
      <c r="AE10" s="46" t="str">
        <f>'[1]Základní údaje'!$AH14</f>
        <v/>
      </c>
      <c r="AJ10" s="93" t="str">
        <f t="shared" si="12"/>
        <v>2.11.2013  5,00 hod</v>
      </c>
      <c r="AL10" s="93">
        <f t="shared" si="13"/>
        <v>19</v>
      </c>
      <c r="AN10" s="93" t="str">
        <f t="shared" si="14"/>
        <v>2.11.2013  18,00 hod</v>
      </c>
      <c r="AP10" s="93">
        <f t="shared" si="15"/>
        <v>20</v>
      </c>
      <c r="AR10" s="96">
        <f t="shared" si="16"/>
        <v>5</v>
      </c>
      <c r="AS10" s="96">
        <f t="shared" si="17"/>
        <v>18</v>
      </c>
      <c r="AT10" s="96">
        <f t="shared" si="18"/>
        <v>13</v>
      </c>
      <c r="AU10" s="97">
        <f t="shared" si="19"/>
        <v>100</v>
      </c>
      <c r="AV10" s="98">
        <f t="shared" si="20"/>
        <v>1</v>
      </c>
      <c r="AX10" s="94" t="str">
        <f t="shared" si="21"/>
        <v xml:space="preserve">2.11.2013 </v>
      </c>
      <c r="AY10" s="94" t="str">
        <f t="shared" si="22"/>
        <v xml:space="preserve">2.11.2013 </v>
      </c>
      <c r="AZ10" s="94">
        <f t="shared" si="23"/>
        <v>0</v>
      </c>
      <c r="BA10" s="97">
        <f t="shared" si="24"/>
        <v>11</v>
      </c>
      <c r="BB10" s="97">
        <f t="shared" si="25"/>
        <v>0</v>
      </c>
      <c r="BC10" s="97">
        <f t="shared" si="26"/>
        <v>0</v>
      </c>
      <c r="BE10" s="97">
        <f t="shared" si="27"/>
        <v>100</v>
      </c>
    </row>
    <row r="11" spans="1:69" ht="23.1" customHeight="1" x14ac:dyDescent="0.25">
      <c r="A11" s="89" t="str">
        <f t="shared" si="1"/>
        <v>Martin Hakl</v>
      </c>
      <c r="B11" s="87" t="str">
        <f t="shared" si="2"/>
        <v>rozhodčí</v>
      </c>
      <c r="C11" s="88" t="str">
        <f t="shared" si="3"/>
        <v/>
      </c>
      <c r="D11" s="140"/>
      <c r="E11" s="28">
        <f>IF(('Údaje o rozhodčích'!BR8)="","",('Údaje o rozhodčích'!BR8))</f>
        <v>111809845</v>
      </c>
      <c r="F11" s="58" t="str">
        <f>IF(('Údaje o rozhodčích'!BT8)="","",('Údaje o rozhodčích'!BT8))</f>
        <v>AUV</v>
      </c>
      <c r="G11" s="66" t="str">
        <f>IF(('Údaje o rozhodčích'!BU8)="","",('Údaje o rozhodčích'!BU8))</f>
        <v>4AZ 4522</v>
      </c>
      <c r="H11" s="101" t="str">
        <f>IF(('Údaje o rozhodčích'!BS8)="","",('Údaje o rozhodčích'!BS8))</f>
        <v>Chrastava</v>
      </c>
      <c r="I11" s="8" t="s">
        <v>220</v>
      </c>
      <c r="J11" s="9" t="s">
        <v>221</v>
      </c>
      <c r="K11" s="24">
        <v>380</v>
      </c>
      <c r="L11" s="25"/>
      <c r="M11" s="26"/>
      <c r="N11" s="26"/>
      <c r="O11" s="70" t="str">
        <f t="shared" si="4"/>
        <v>4AZ 4522</v>
      </c>
      <c r="P11" s="71"/>
      <c r="Q11" s="45" t="str">
        <f>IF(('Údaje o rozhodčích'!BQ8)="","xxx",('Údaje o rozhodčích'!BQ8))</f>
        <v>Martin Hakl</v>
      </c>
      <c r="R11" s="22">
        <f t="shared" si="5"/>
        <v>111809845</v>
      </c>
      <c r="S11" s="20" t="str">
        <f>IF(Q11="xxx","xxx",(IF(F11="",('[1]Základní údaje'!$AD15),F11)))</f>
        <v>AUV</v>
      </c>
      <c r="T11" s="59" t="str">
        <f t="shared" si="6"/>
        <v>Chrastava</v>
      </c>
      <c r="U11" s="59" t="str">
        <f t="shared" si="7"/>
        <v>2.11.2013  5,00 hod</v>
      </c>
      <c r="V11" s="59" t="str">
        <f t="shared" si="8"/>
        <v>2.11.2013  18,00 hod</v>
      </c>
      <c r="W11" s="18" t="str">
        <f>'[1]Základní údaje'!$AE15</f>
        <v>rozhodčí</v>
      </c>
      <c r="X11" s="6">
        <f t="shared" si="9"/>
        <v>380</v>
      </c>
      <c r="Y11" s="4">
        <f t="shared" si="28"/>
        <v>100</v>
      </c>
      <c r="Z11" s="4">
        <f t="shared" si="10"/>
        <v>0</v>
      </c>
      <c r="AA11" s="5"/>
      <c r="AB11" s="5">
        <f>IF(Q11="xxx",0,(IF(N11="",'[1]Základní údaje'!$Z15,N11)))</f>
        <v>300</v>
      </c>
      <c r="AC11" s="7">
        <f t="shared" ref="AC11:AC17" si="29">AB11+AA11+Z11+Y11+X11</f>
        <v>780</v>
      </c>
      <c r="AD11" s="73" t="str">
        <f t="shared" si="11"/>
        <v>4AZ 4522</v>
      </c>
      <c r="AE11" s="46" t="str">
        <f>'[1]Základní údaje'!$AH15</f>
        <v/>
      </c>
      <c r="AJ11" s="93" t="str">
        <f t="shared" si="12"/>
        <v>2.11.2013  5,00 hod</v>
      </c>
      <c r="AL11" s="93">
        <f t="shared" si="13"/>
        <v>19</v>
      </c>
      <c r="AN11" s="93" t="str">
        <f t="shared" si="14"/>
        <v>2.11.2013  18,00 hod</v>
      </c>
      <c r="AP11" s="93">
        <f t="shared" si="15"/>
        <v>20</v>
      </c>
      <c r="AR11" s="96">
        <f t="shared" si="16"/>
        <v>5</v>
      </c>
      <c r="AS11" s="96">
        <f t="shared" si="17"/>
        <v>18</v>
      </c>
      <c r="AT11" s="96">
        <f t="shared" si="18"/>
        <v>13</v>
      </c>
      <c r="AU11" s="97">
        <f t="shared" si="19"/>
        <v>100</v>
      </c>
      <c r="AV11" s="98">
        <f t="shared" si="20"/>
        <v>1</v>
      </c>
      <c r="AX11" s="94" t="str">
        <f t="shared" si="21"/>
        <v xml:space="preserve">2.11.2013 </v>
      </c>
      <c r="AY11" s="94" t="str">
        <f t="shared" si="22"/>
        <v xml:space="preserve">2.11.2013 </v>
      </c>
      <c r="AZ11" s="94">
        <f t="shared" si="23"/>
        <v>0</v>
      </c>
      <c r="BA11" s="97">
        <f t="shared" si="24"/>
        <v>11</v>
      </c>
      <c r="BB11" s="97">
        <f t="shared" si="25"/>
        <v>0</v>
      </c>
      <c r="BC11" s="97">
        <f t="shared" si="26"/>
        <v>0</v>
      </c>
      <c r="BE11" s="97">
        <f t="shared" si="27"/>
        <v>100</v>
      </c>
    </row>
    <row r="12" spans="1:69" ht="23.1" customHeight="1" x14ac:dyDescent="0.25">
      <c r="A12" s="89" t="str">
        <f t="shared" si="1"/>
        <v>Petr Skalický</v>
      </c>
      <c r="B12" s="87" t="str">
        <f t="shared" si="2"/>
        <v>rozhodčí</v>
      </c>
      <c r="C12" s="88" t="str">
        <f t="shared" si="3"/>
        <v>!!!</v>
      </c>
      <c r="D12" s="140"/>
      <c r="E12" s="28" t="str">
        <f>IF(('Údaje o rozhodčích'!BR9)="","",('Údaje o rozhodčích'!BR9))</f>
        <v/>
      </c>
      <c r="F12" s="58" t="str">
        <f>IF(('Údaje o rozhodčích'!BT9)="","",('Údaje o rozhodčích'!BT9))</f>
        <v/>
      </c>
      <c r="G12" s="66" t="str">
        <f>IF(('Údaje o rozhodčích'!BU9)="","",('Údaje o rozhodčích'!BU9))</f>
        <v/>
      </c>
      <c r="H12" s="101" t="str">
        <f>IF(('Údaje o rozhodčích'!BS9)="","",('Údaje o rozhodčích'!BS9))</f>
        <v/>
      </c>
      <c r="I12" s="8" t="s">
        <v>220</v>
      </c>
      <c r="J12" s="9" t="s">
        <v>221</v>
      </c>
      <c r="K12" s="24">
        <v>468</v>
      </c>
      <c r="L12" s="25"/>
      <c r="M12" s="26"/>
      <c r="N12" s="26"/>
      <c r="O12" s="70" t="str">
        <f t="shared" si="4"/>
        <v/>
      </c>
      <c r="P12" s="71"/>
      <c r="Q12" s="45" t="str">
        <f>IF(('Údaje o rozhodčích'!BQ9)="","xxx",('Údaje o rozhodčích'!BQ9))</f>
        <v>Petr Skalický</v>
      </c>
      <c r="R12" s="22" t="str">
        <f t="shared" si="5"/>
        <v>? ? ? ? ?</v>
      </c>
      <c r="S12" s="20" t="str">
        <f>IF(Q12="xxx","xxx",(IF(F12="",('[1]Základní údaje'!$AD16),F12)))</f>
        <v>AUV</v>
      </c>
      <c r="T12" s="59" t="str">
        <f t="shared" si="6"/>
        <v>xxx</v>
      </c>
      <c r="U12" s="59" t="str">
        <f t="shared" si="7"/>
        <v>2.11.2013  5,00 hod</v>
      </c>
      <c r="V12" s="59" t="str">
        <f t="shared" si="8"/>
        <v>2.11.2013  18,00 hod</v>
      </c>
      <c r="W12" s="18" t="str">
        <f>'[1]Základní údaje'!$AE16</f>
        <v>rozhodčí</v>
      </c>
      <c r="X12" s="6">
        <f t="shared" si="9"/>
        <v>468</v>
      </c>
      <c r="Y12" s="4">
        <f t="shared" si="28"/>
        <v>100</v>
      </c>
      <c r="Z12" s="4">
        <f t="shared" si="10"/>
        <v>0</v>
      </c>
      <c r="AA12" s="5"/>
      <c r="AB12" s="5">
        <f>IF(Q12="xxx",0,(IF(N12="",'[1]Základní údaje'!$Z16,N12)))</f>
        <v>300</v>
      </c>
      <c r="AC12" s="7">
        <f t="shared" si="29"/>
        <v>868</v>
      </c>
      <c r="AD12" s="73" t="str">
        <f t="shared" si="11"/>
        <v>xxx</v>
      </c>
      <c r="AE12" s="46" t="str">
        <f>'[1]Základní údaje'!$AH16</f>
        <v/>
      </c>
      <c r="AJ12" s="93" t="str">
        <f t="shared" si="12"/>
        <v>2.11.2013  5,00 hod</v>
      </c>
      <c r="AL12" s="93">
        <f t="shared" si="13"/>
        <v>19</v>
      </c>
      <c r="AN12" s="93" t="str">
        <f t="shared" si="14"/>
        <v>2.11.2013  18,00 hod</v>
      </c>
      <c r="AP12" s="93">
        <f t="shared" si="15"/>
        <v>20</v>
      </c>
      <c r="AR12" s="96">
        <f t="shared" si="16"/>
        <v>5</v>
      </c>
      <c r="AS12" s="96">
        <f t="shared" si="17"/>
        <v>18</v>
      </c>
      <c r="AT12" s="96">
        <f t="shared" si="18"/>
        <v>13</v>
      </c>
      <c r="AU12" s="97">
        <f t="shared" si="19"/>
        <v>100</v>
      </c>
      <c r="AV12" s="98">
        <f t="shared" si="20"/>
        <v>1</v>
      </c>
      <c r="AX12" s="94" t="str">
        <f t="shared" si="21"/>
        <v xml:space="preserve">2.11.2013 </v>
      </c>
      <c r="AY12" s="94" t="str">
        <f t="shared" si="22"/>
        <v xml:space="preserve">2.11.2013 </v>
      </c>
      <c r="AZ12" s="94">
        <f t="shared" si="23"/>
        <v>0</v>
      </c>
      <c r="BA12" s="97">
        <f t="shared" si="24"/>
        <v>11</v>
      </c>
      <c r="BB12" s="97">
        <f t="shared" si="25"/>
        <v>0</v>
      </c>
      <c r="BC12" s="97">
        <f t="shared" si="26"/>
        <v>0</v>
      </c>
      <c r="BE12" s="97">
        <f t="shared" si="27"/>
        <v>100</v>
      </c>
    </row>
    <row r="13" spans="1:69" ht="23.1" customHeight="1" x14ac:dyDescent="0.25">
      <c r="A13" s="89" t="str">
        <f t="shared" si="1"/>
        <v>František Maňásek</v>
      </c>
      <c r="B13" s="87" t="str">
        <f t="shared" si="2"/>
        <v>rozhodčí</v>
      </c>
      <c r="C13" s="88" t="str">
        <f t="shared" si="3"/>
        <v/>
      </c>
      <c r="D13" s="140"/>
      <c r="E13" s="28">
        <v>201767885</v>
      </c>
      <c r="F13" s="58" t="s">
        <v>28</v>
      </c>
      <c r="G13" s="66" t="str">
        <f>IF(('Údaje o rozhodčích'!BU10)="","",('Údaje o rozhodčích'!BU10))</f>
        <v>6H3 3951</v>
      </c>
      <c r="H13" s="101" t="str">
        <f>IF(('Údaje o rozhodčích'!BS10)="","",('Údaje o rozhodčích'!BS10))</f>
        <v>Svobodné Dvory</v>
      </c>
      <c r="I13" s="8" t="s">
        <v>220</v>
      </c>
      <c r="J13" s="9" t="s">
        <v>221</v>
      </c>
      <c r="K13" s="24"/>
      <c r="L13" s="25"/>
      <c r="M13" s="26"/>
      <c r="N13" s="26"/>
      <c r="O13" s="70" t="str">
        <f t="shared" si="4"/>
        <v>6H3 3951</v>
      </c>
      <c r="P13" s="71"/>
      <c r="Q13" s="45" t="str">
        <f>IF(('Údaje o rozhodčích'!BQ10)="","xxx",('Údaje o rozhodčích'!BQ10))</f>
        <v>František Maňásek</v>
      </c>
      <c r="R13" s="22">
        <f t="shared" si="5"/>
        <v>201767885</v>
      </c>
      <c r="S13" s="20" t="str">
        <f>IF(Q13="xxx","xxx",(IF(F13="",('[1]Základní údaje'!$AD17),F13)))</f>
        <v>MHD</v>
      </c>
      <c r="T13" s="59" t="str">
        <f t="shared" si="6"/>
        <v>Svobodné Dvory</v>
      </c>
      <c r="U13" s="59" t="str">
        <f t="shared" si="7"/>
        <v>2.11.2013  5,00 hod</v>
      </c>
      <c r="V13" s="59" t="str">
        <f t="shared" si="8"/>
        <v>2.11.2013  18,00 hod</v>
      </c>
      <c r="W13" s="18" t="str">
        <f>'[1]Základní údaje'!$AE17</f>
        <v>rozhodčí</v>
      </c>
      <c r="X13" s="6">
        <f t="shared" si="9"/>
        <v>50</v>
      </c>
      <c r="Y13" s="4">
        <f t="shared" si="28"/>
        <v>100</v>
      </c>
      <c r="Z13" s="4">
        <f t="shared" si="10"/>
        <v>0</v>
      </c>
      <c r="AA13" s="5"/>
      <c r="AB13" s="5">
        <f>IF(Q13="xxx",0,(IF(N13="",'[1]Základní údaje'!$Z17,N13)))</f>
        <v>300</v>
      </c>
      <c r="AC13" s="7">
        <f t="shared" si="29"/>
        <v>450</v>
      </c>
      <c r="AD13" s="73" t="str">
        <f t="shared" si="11"/>
        <v>6H3 3951</v>
      </c>
      <c r="AE13" s="46" t="str">
        <f>'[1]Základní údaje'!$AH17</f>
        <v/>
      </c>
      <c r="AJ13" s="93" t="str">
        <f t="shared" si="12"/>
        <v>2.11.2013  5,00 hod</v>
      </c>
      <c r="AL13" s="93">
        <f t="shared" si="13"/>
        <v>19</v>
      </c>
      <c r="AN13" s="93" t="str">
        <f t="shared" si="14"/>
        <v>2.11.2013  18,00 hod</v>
      </c>
      <c r="AP13" s="93">
        <f t="shared" si="15"/>
        <v>20</v>
      </c>
      <c r="AR13" s="96">
        <f t="shared" si="16"/>
        <v>5</v>
      </c>
      <c r="AS13" s="96">
        <f t="shared" si="17"/>
        <v>18</v>
      </c>
      <c r="AT13" s="96">
        <f t="shared" si="18"/>
        <v>13</v>
      </c>
      <c r="AU13" s="97">
        <f t="shared" si="19"/>
        <v>100</v>
      </c>
      <c r="AV13" s="98">
        <f t="shared" si="20"/>
        <v>1</v>
      </c>
      <c r="AX13" s="94" t="str">
        <f t="shared" si="21"/>
        <v xml:space="preserve">2.11.2013 </v>
      </c>
      <c r="AY13" s="94" t="str">
        <f t="shared" si="22"/>
        <v xml:space="preserve">2.11.2013 </v>
      </c>
      <c r="AZ13" s="94">
        <f t="shared" si="23"/>
        <v>0</v>
      </c>
      <c r="BA13" s="97">
        <f t="shared" si="24"/>
        <v>11</v>
      </c>
      <c r="BB13" s="97">
        <f t="shared" si="25"/>
        <v>0</v>
      </c>
      <c r="BC13" s="97">
        <f t="shared" si="26"/>
        <v>0</v>
      </c>
      <c r="BE13" s="97">
        <f t="shared" si="27"/>
        <v>100</v>
      </c>
    </row>
    <row r="14" spans="1:69" ht="23.1" customHeight="1" x14ac:dyDescent="0.25">
      <c r="A14" s="89" t="str">
        <f t="shared" si="1"/>
        <v>Josef Školník</v>
      </c>
      <c r="B14" s="87" t="str">
        <f t="shared" si="2"/>
        <v>rozhodčí</v>
      </c>
      <c r="C14" s="88" t="str">
        <f t="shared" si="3"/>
        <v/>
      </c>
      <c r="D14" s="140"/>
      <c r="E14" s="28">
        <f>IF(('Údaje o rozhodčích'!BR11)="","",('Údaje o rozhodčích'!BR11))</f>
        <v>115546451</v>
      </c>
      <c r="F14" s="58" t="str">
        <f>IF(('Údaje o rozhodčích'!BT11)="","",('Údaje o rozhodčích'!BT11))</f>
        <v>AUV</v>
      </c>
      <c r="G14" s="66" t="str">
        <f>IF(('Údaje o rozhodčích'!BU11)="","",('Údaje o rozhodčích'!BU11))</f>
        <v>3U1 0545</v>
      </c>
      <c r="H14" s="101" t="str">
        <f>IF(('Údaje o rozhodčích'!BS11)="","",('Údaje o rozhodčích'!BS11))</f>
        <v>Bílina</v>
      </c>
      <c r="I14" s="8" t="s">
        <v>218</v>
      </c>
      <c r="J14" s="9" t="s">
        <v>219</v>
      </c>
      <c r="K14" s="24">
        <v>710</v>
      </c>
      <c r="L14" s="25"/>
      <c r="M14" s="26"/>
      <c r="N14" s="26"/>
      <c r="O14" s="70" t="str">
        <f t="shared" si="4"/>
        <v>3U1 0545</v>
      </c>
      <c r="P14" s="71"/>
      <c r="Q14" s="45" t="str">
        <f>IF(('Údaje o rozhodčích'!BQ11)="","xxx",('Údaje o rozhodčích'!BQ11))</f>
        <v>Josef Školník</v>
      </c>
      <c r="R14" s="22">
        <f t="shared" si="5"/>
        <v>115546451</v>
      </c>
      <c r="S14" s="20" t="str">
        <f>IF(Q14="xxx","xxx",(IF(F14="",('[1]Základní údaje'!$AD18),F14)))</f>
        <v>AUV</v>
      </c>
      <c r="T14" s="59" t="str">
        <f t="shared" si="6"/>
        <v>Bílina</v>
      </c>
      <c r="U14" s="59" t="str">
        <f t="shared" si="7"/>
        <v>1.11.2013  14,00 hod</v>
      </c>
      <c r="V14" s="59" t="str">
        <f t="shared" si="8"/>
        <v>2.11.2013  19,00 hod</v>
      </c>
      <c r="W14" s="18" t="str">
        <f>'[1]Základní údaje'!$AE18</f>
        <v>rozhodčí</v>
      </c>
      <c r="X14" s="6">
        <f t="shared" si="9"/>
        <v>710</v>
      </c>
      <c r="Y14" s="4">
        <f t="shared" si="28"/>
        <v>314</v>
      </c>
      <c r="Z14" s="4">
        <f t="shared" si="10"/>
        <v>0</v>
      </c>
      <c r="AA14" s="5"/>
      <c r="AB14" s="5">
        <f>IF(Q14="xxx",0,(IF(N14="",'[1]Základní údaje'!$Z18,N14)))</f>
        <v>300</v>
      </c>
      <c r="AC14" s="7">
        <f t="shared" si="29"/>
        <v>1324</v>
      </c>
      <c r="AD14" s="73" t="str">
        <f t="shared" si="11"/>
        <v>3U1 0545</v>
      </c>
      <c r="AE14" s="46" t="str">
        <f>'[1]Základní údaje'!$AH18</f>
        <v/>
      </c>
      <c r="AJ14" s="93" t="str">
        <f t="shared" si="12"/>
        <v>1.11.2013  14,00 hod</v>
      </c>
      <c r="AL14" s="93">
        <f t="shared" si="13"/>
        <v>20</v>
      </c>
      <c r="AN14" s="93" t="str">
        <f t="shared" si="14"/>
        <v>2.11.2013  19,00 hod</v>
      </c>
      <c r="AP14" s="93">
        <f t="shared" si="15"/>
        <v>20</v>
      </c>
      <c r="AR14" s="96">
        <f t="shared" si="16"/>
        <v>14</v>
      </c>
      <c r="AS14" s="96">
        <f t="shared" si="17"/>
        <v>19</v>
      </c>
      <c r="AT14" s="96">
        <f t="shared" si="18"/>
        <v>5</v>
      </c>
      <c r="AU14" s="97">
        <f t="shared" si="19"/>
        <v>66</v>
      </c>
      <c r="AV14" s="98">
        <f t="shared" si="20"/>
        <v>0</v>
      </c>
      <c r="AX14" s="94" t="str">
        <f t="shared" si="21"/>
        <v xml:space="preserve">1.11.2013 </v>
      </c>
      <c r="AY14" s="94" t="str">
        <f t="shared" si="22"/>
        <v xml:space="preserve">2.11.2013 </v>
      </c>
      <c r="AZ14" s="94">
        <f t="shared" si="23"/>
        <v>1</v>
      </c>
      <c r="BA14" s="97">
        <f t="shared" si="24"/>
        <v>19</v>
      </c>
      <c r="BB14" s="97">
        <f t="shared" si="25"/>
        <v>157</v>
      </c>
      <c r="BC14" s="97">
        <f t="shared" si="26"/>
        <v>157</v>
      </c>
      <c r="BE14" s="97">
        <f t="shared" si="27"/>
        <v>314</v>
      </c>
    </row>
    <row r="15" spans="1:69" ht="23.1" customHeight="1" x14ac:dyDescent="0.25">
      <c r="A15" s="89" t="str">
        <f t="shared" si="1"/>
        <v>Vladimír Komorný</v>
      </c>
      <c r="B15" s="87" t="str">
        <f t="shared" si="2"/>
        <v>rozhodčí</v>
      </c>
      <c r="C15" s="88" t="str">
        <f t="shared" si="3"/>
        <v/>
      </c>
      <c r="D15" s="140"/>
      <c r="E15" s="28">
        <f>IF(('Údaje o rozhodčích'!BR12)="","",('Údaje o rozhodčích'!BR12))</f>
        <v>104056649</v>
      </c>
      <c r="F15" s="58" t="str">
        <f>IF(('Údaje o rozhodčích'!BT12)="","",('Údaje o rozhodčích'!BT12))</f>
        <v>AUV</v>
      </c>
      <c r="G15" s="66" t="str">
        <f>IF(('Údaje o rozhodčích'!BU12)="","",('Údaje o rozhodčích'!BU12))</f>
        <v>8B5 0807</v>
      </c>
      <c r="H15" s="101" t="str">
        <f>IF(('Údaje o rozhodčích'!BS12)="","",('Údaje o rozhodčích'!BS12))</f>
        <v>Hodonín</v>
      </c>
      <c r="I15" s="8" t="s">
        <v>220</v>
      </c>
      <c r="J15" s="9" t="s">
        <v>221</v>
      </c>
      <c r="K15" s="24">
        <v>672</v>
      </c>
      <c r="L15" s="25"/>
      <c r="M15" s="26"/>
      <c r="N15" s="26"/>
      <c r="O15" s="70" t="str">
        <f t="shared" si="4"/>
        <v>8B5 0807</v>
      </c>
      <c r="P15" s="71"/>
      <c r="Q15" s="45" t="str">
        <f>IF(('Údaje o rozhodčích'!BQ12)="","xxx",('Údaje o rozhodčích'!BQ12))</f>
        <v>Vladimír Komorný</v>
      </c>
      <c r="R15" s="22">
        <f t="shared" si="5"/>
        <v>104056649</v>
      </c>
      <c r="S15" s="20" t="str">
        <f>IF(Q15="xxx","xxx",(IF(F15="",('[1]Základní údaje'!$AD19),F15)))</f>
        <v>AUV</v>
      </c>
      <c r="T15" s="59" t="str">
        <f t="shared" si="6"/>
        <v>Hodonín</v>
      </c>
      <c r="U15" s="59" t="str">
        <f t="shared" si="7"/>
        <v>2.11.2013  5,00 hod</v>
      </c>
      <c r="V15" s="59" t="str">
        <f t="shared" si="8"/>
        <v>2.11.2013  18,00 hod</v>
      </c>
      <c r="W15" s="18" t="str">
        <f>'[1]Základní údaje'!$AE19</f>
        <v>rozhodčí</v>
      </c>
      <c r="X15" s="6">
        <f t="shared" si="9"/>
        <v>672</v>
      </c>
      <c r="Y15" s="4">
        <f t="shared" si="28"/>
        <v>100</v>
      </c>
      <c r="Z15" s="4">
        <f t="shared" si="10"/>
        <v>0</v>
      </c>
      <c r="AA15" s="5"/>
      <c r="AB15" s="5">
        <f>IF(Q15="xxx",0,(IF(N15="",'[1]Základní údaje'!$Z19,N15)))</f>
        <v>300</v>
      </c>
      <c r="AC15" s="7">
        <f t="shared" si="29"/>
        <v>1072</v>
      </c>
      <c r="AD15" s="73" t="str">
        <f t="shared" si="11"/>
        <v>8B5 0807</v>
      </c>
      <c r="AE15" s="46" t="str">
        <f>'[1]Základní údaje'!$AH19</f>
        <v/>
      </c>
      <c r="AJ15" s="93" t="str">
        <f t="shared" si="12"/>
        <v>2.11.2013  5,00 hod</v>
      </c>
      <c r="AL15" s="93">
        <f t="shared" si="13"/>
        <v>19</v>
      </c>
      <c r="AN15" s="93" t="str">
        <f t="shared" si="14"/>
        <v>2.11.2013  18,00 hod</v>
      </c>
      <c r="AP15" s="93">
        <f t="shared" si="15"/>
        <v>20</v>
      </c>
      <c r="AR15" s="96">
        <f t="shared" si="16"/>
        <v>5</v>
      </c>
      <c r="AS15" s="96">
        <f t="shared" si="17"/>
        <v>18</v>
      </c>
      <c r="AT15" s="96">
        <f t="shared" si="18"/>
        <v>13</v>
      </c>
      <c r="AU15" s="97">
        <f t="shared" si="19"/>
        <v>100</v>
      </c>
      <c r="AV15" s="98">
        <f t="shared" si="20"/>
        <v>1</v>
      </c>
      <c r="AX15" s="94" t="str">
        <f t="shared" si="21"/>
        <v xml:space="preserve">2.11.2013 </v>
      </c>
      <c r="AY15" s="94" t="str">
        <f t="shared" si="22"/>
        <v xml:space="preserve">2.11.2013 </v>
      </c>
      <c r="AZ15" s="94">
        <f t="shared" si="23"/>
        <v>0</v>
      </c>
      <c r="BA15" s="97">
        <f t="shared" si="24"/>
        <v>11</v>
      </c>
      <c r="BB15" s="97">
        <f t="shared" si="25"/>
        <v>0</v>
      </c>
      <c r="BC15" s="97">
        <f t="shared" si="26"/>
        <v>0</v>
      </c>
      <c r="BE15" s="97">
        <f t="shared" si="27"/>
        <v>100</v>
      </c>
    </row>
    <row r="16" spans="1:69" ht="23.1" customHeight="1" x14ac:dyDescent="0.25">
      <c r="A16" s="89" t="str">
        <f t="shared" si="1"/>
        <v>Aleš Nový</v>
      </c>
      <c r="B16" s="87" t="str">
        <f t="shared" si="2"/>
        <v>rozhodčí</v>
      </c>
      <c r="C16" s="88" t="str">
        <f t="shared" si="3"/>
        <v/>
      </c>
      <c r="D16" s="140"/>
      <c r="E16" s="28">
        <f>IF(('Údaje o rozhodčích'!BR13)="","",('Údaje o rozhodčích'!BR13))</f>
        <v>105333952</v>
      </c>
      <c r="F16" s="58" t="str">
        <f>IF(('Údaje o rozhodčích'!BT13)="","",('Údaje o rozhodčích'!BT13))</f>
        <v>AUV</v>
      </c>
      <c r="G16" s="66" t="str">
        <f>IF(('Údaje o rozhodčích'!BU13)="","",('Údaje o rozhodčích'!BU13))</f>
        <v>1SH 7203</v>
      </c>
      <c r="H16" s="101" t="str">
        <f>IF(('Údaje o rozhodčích'!BS13)="","",('Údaje o rozhodčích'!BS13))</f>
        <v>Mladá Boleslav</v>
      </c>
      <c r="I16" s="8" t="s">
        <v>220</v>
      </c>
      <c r="J16" s="9" t="s">
        <v>221</v>
      </c>
      <c r="K16" s="24">
        <v>322</v>
      </c>
      <c r="L16" s="25"/>
      <c r="M16" s="26"/>
      <c r="N16" s="26"/>
      <c r="O16" s="70" t="str">
        <f t="shared" si="4"/>
        <v>1SH 7203</v>
      </c>
      <c r="P16" s="71"/>
      <c r="Q16" s="45" t="str">
        <f>IF(('Údaje o rozhodčích'!BQ13)="","xxx",('Údaje o rozhodčích'!BQ13))</f>
        <v>Aleš Nový</v>
      </c>
      <c r="R16" s="22">
        <f t="shared" si="5"/>
        <v>105333952</v>
      </c>
      <c r="S16" s="20" t="str">
        <f>IF(Q16="xxx","xxx",(IF(F16="",('[1]Základní údaje'!$AD20),F16)))</f>
        <v>AUV</v>
      </c>
      <c r="T16" s="59" t="str">
        <f t="shared" si="6"/>
        <v>Mladá Boleslav</v>
      </c>
      <c r="U16" s="59" t="str">
        <f t="shared" si="7"/>
        <v>2.11.2013  5,00 hod</v>
      </c>
      <c r="V16" s="59" t="str">
        <f t="shared" si="8"/>
        <v>2.11.2013  18,00 hod</v>
      </c>
      <c r="W16" s="18" t="str">
        <f>'[1]Základní údaje'!$AE20</f>
        <v>rozhodčí</v>
      </c>
      <c r="X16" s="6">
        <f t="shared" si="9"/>
        <v>322</v>
      </c>
      <c r="Y16" s="4">
        <f t="shared" si="28"/>
        <v>100</v>
      </c>
      <c r="Z16" s="4">
        <f t="shared" si="10"/>
        <v>0</v>
      </c>
      <c r="AA16" s="5"/>
      <c r="AB16" s="5">
        <f>IF(Q16="xxx",0,(IF(N16="",'[1]Základní údaje'!$Z20,N16)))</f>
        <v>300</v>
      </c>
      <c r="AC16" s="7">
        <f t="shared" si="29"/>
        <v>722</v>
      </c>
      <c r="AD16" s="73" t="str">
        <f t="shared" si="11"/>
        <v>1SH 7203</v>
      </c>
      <c r="AE16" s="46" t="str">
        <f>'[1]Základní údaje'!$AH20</f>
        <v/>
      </c>
      <c r="AJ16" s="93" t="str">
        <f t="shared" si="12"/>
        <v>2.11.2013  5,00 hod</v>
      </c>
      <c r="AL16" s="93">
        <f t="shared" si="13"/>
        <v>19</v>
      </c>
      <c r="AN16" s="93" t="str">
        <f t="shared" si="14"/>
        <v>2.11.2013  18,00 hod</v>
      </c>
      <c r="AP16" s="93">
        <f t="shared" si="15"/>
        <v>20</v>
      </c>
      <c r="AR16" s="96">
        <f t="shared" si="16"/>
        <v>5</v>
      </c>
      <c r="AS16" s="96">
        <f t="shared" si="17"/>
        <v>18</v>
      </c>
      <c r="AT16" s="96">
        <f t="shared" si="18"/>
        <v>13</v>
      </c>
      <c r="AU16" s="97">
        <f t="shared" si="19"/>
        <v>100</v>
      </c>
      <c r="AV16" s="98">
        <f t="shared" si="20"/>
        <v>1</v>
      </c>
      <c r="AX16" s="94" t="str">
        <f t="shared" si="21"/>
        <v xml:space="preserve">2.11.2013 </v>
      </c>
      <c r="AY16" s="94" t="str">
        <f t="shared" si="22"/>
        <v xml:space="preserve">2.11.2013 </v>
      </c>
      <c r="AZ16" s="94">
        <f t="shared" si="23"/>
        <v>0</v>
      </c>
      <c r="BA16" s="97">
        <f t="shared" si="24"/>
        <v>11</v>
      </c>
      <c r="BB16" s="97">
        <f t="shared" si="25"/>
        <v>0</v>
      </c>
      <c r="BC16" s="97">
        <f t="shared" si="26"/>
        <v>0</v>
      </c>
      <c r="BE16" s="97">
        <f t="shared" si="27"/>
        <v>100</v>
      </c>
    </row>
    <row r="17" spans="1:57" ht="23.1" customHeight="1" x14ac:dyDescent="0.25">
      <c r="A17" s="89" t="str">
        <f t="shared" si="1"/>
        <v>Jiří Soukup</v>
      </c>
      <c r="B17" s="87" t="str">
        <f t="shared" si="2"/>
        <v>rozhodčí</v>
      </c>
      <c r="C17" s="88" t="str">
        <f t="shared" si="3"/>
        <v/>
      </c>
      <c r="D17" s="140"/>
      <c r="E17" s="28">
        <f>IF(('Údaje o rozhodčích'!BR14)="","",('Údaje o rozhodčích'!BR14))</f>
        <v>109388248</v>
      </c>
      <c r="F17" s="58" t="str">
        <f>IF(('Údaje o rozhodčích'!BT14)="","",('Údaje o rozhodčích'!BT14))</f>
        <v>AUV</v>
      </c>
      <c r="G17" s="66" t="str">
        <f>IF(('Údaje o rozhodčích'!BU14)="","",('Údaje o rozhodčích'!BU14))</f>
        <v>1S7 9729</v>
      </c>
      <c r="H17" s="101" t="str">
        <f>IF(('Údaje o rozhodčích'!BS14)="","",('Údaje o rozhodčích'!BS14))</f>
        <v>Kostelec nad Labem</v>
      </c>
      <c r="I17" s="8" t="s">
        <v>220</v>
      </c>
      <c r="J17" s="9" t="s">
        <v>221</v>
      </c>
      <c r="K17" s="24">
        <v>342</v>
      </c>
      <c r="L17" s="25"/>
      <c r="M17" s="26"/>
      <c r="N17" s="26"/>
      <c r="O17" s="70" t="str">
        <f t="shared" si="4"/>
        <v>1S7 9729</v>
      </c>
      <c r="P17" s="71"/>
      <c r="Q17" s="45" t="str">
        <f>IF(('Údaje o rozhodčích'!BQ14)="","xxx",('Údaje o rozhodčích'!BQ14))</f>
        <v>Jiří Soukup</v>
      </c>
      <c r="R17" s="22">
        <f t="shared" si="5"/>
        <v>109388248</v>
      </c>
      <c r="S17" s="20" t="str">
        <f>IF(Q17="xxx","xxx",(IF(F17="",('[1]Základní údaje'!$AD21),F17)))</f>
        <v>AUV</v>
      </c>
      <c r="T17" s="59" t="str">
        <f t="shared" si="6"/>
        <v>Kostelec nad Labem</v>
      </c>
      <c r="U17" s="59" t="str">
        <f t="shared" si="7"/>
        <v>2.11.2013  5,00 hod</v>
      </c>
      <c r="V17" s="59" t="str">
        <f t="shared" si="8"/>
        <v>2.11.2013  18,00 hod</v>
      </c>
      <c r="W17" s="18" t="str">
        <f>'[1]Základní údaje'!$AE21</f>
        <v>rozhodčí</v>
      </c>
      <c r="X17" s="6">
        <f t="shared" si="9"/>
        <v>342</v>
      </c>
      <c r="Y17" s="4">
        <f t="shared" si="28"/>
        <v>100</v>
      </c>
      <c r="Z17" s="4">
        <f t="shared" si="10"/>
        <v>0</v>
      </c>
      <c r="AA17" s="5"/>
      <c r="AB17" s="5">
        <f>IF(Q17="xxx",0,(IF(N17="",'[1]Základní údaje'!$Z21,N17)))</f>
        <v>300</v>
      </c>
      <c r="AC17" s="7">
        <f t="shared" si="29"/>
        <v>742</v>
      </c>
      <c r="AD17" s="73" t="str">
        <f t="shared" si="11"/>
        <v>1S7 9729</v>
      </c>
      <c r="AE17" s="46" t="str">
        <f>'[1]Základní údaje'!$AH21</f>
        <v/>
      </c>
      <c r="AJ17" s="93" t="str">
        <f t="shared" si="12"/>
        <v>2.11.2013  5,00 hod</v>
      </c>
      <c r="AL17" s="93">
        <f t="shared" si="13"/>
        <v>19</v>
      </c>
      <c r="AN17" s="93" t="str">
        <f t="shared" si="14"/>
        <v>2.11.2013  18,00 hod</v>
      </c>
      <c r="AP17" s="93">
        <f t="shared" si="15"/>
        <v>20</v>
      </c>
      <c r="AR17" s="96">
        <f t="shared" si="16"/>
        <v>5</v>
      </c>
      <c r="AS17" s="96">
        <f t="shared" si="17"/>
        <v>18</v>
      </c>
      <c r="AT17" s="96">
        <f t="shared" si="18"/>
        <v>13</v>
      </c>
      <c r="AU17" s="97">
        <f t="shared" si="19"/>
        <v>100</v>
      </c>
      <c r="AV17" s="98">
        <f t="shared" si="20"/>
        <v>1</v>
      </c>
      <c r="AX17" s="94" t="str">
        <f t="shared" si="21"/>
        <v xml:space="preserve">2.11.2013 </v>
      </c>
      <c r="AY17" s="94" t="str">
        <f t="shared" si="22"/>
        <v xml:space="preserve">2.11.2013 </v>
      </c>
      <c r="AZ17" s="94">
        <f t="shared" si="23"/>
        <v>0</v>
      </c>
      <c r="BA17" s="97">
        <f t="shared" si="24"/>
        <v>11</v>
      </c>
      <c r="BB17" s="97">
        <f t="shared" si="25"/>
        <v>0</v>
      </c>
      <c r="BC17" s="97">
        <f t="shared" si="26"/>
        <v>0</v>
      </c>
      <c r="BE17" s="97">
        <f t="shared" si="27"/>
        <v>100</v>
      </c>
    </row>
    <row r="18" spans="1:57" ht="23.1" customHeight="1" x14ac:dyDescent="0.25">
      <c r="A18" s="89" t="str">
        <f t="shared" si="1"/>
        <v>Jiří Zachariáš</v>
      </c>
      <c r="B18" s="87" t="str">
        <f t="shared" si="2"/>
        <v>rozhodčí</v>
      </c>
      <c r="C18" s="88" t="str">
        <f t="shared" si="3"/>
        <v/>
      </c>
      <c r="D18" s="140"/>
      <c r="E18" s="28">
        <f>IF(('Údaje o rozhodčích'!BR15)="","",('Údaje o rozhodčích'!BR15))</f>
        <v>110810129</v>
      </c>
      <c r="F18" s="58" t="str">
        <f>IF(('Údaje o rozhodčích'!BT15)="","",('Údaje o rozhodčích'!BT15))</f>
        <v>AUV</v>
      </c>
      <c r="G18" s="66" t="str">
        <f>IF(('Údaje o rozhodčích'!BU15)="","",('Údaje o rozhodčích'!BU15))</f>
        <v>2J9 2697</v>
      </c>
      <c r="H18" s="101" t="str">
        <f>IF(('Údaje o rozhodčích'!BS15)="","",('Údaje o rozhodčích'!BS15))</f>
        <v>Havlíčkův Brod</v>
      </c>
      <c r="I18" s="8" t="s">
        <v>218</v>
      </c>
      <c r="J18" s="9" t="s">
        <v>219</v>
      </c>
      <c r="K18" s="24">
        <v>666</v>
      </c>
      <c r="L18" s="25"/>
      <c r="M18" s="26"/>
      <c r="N18" s="26"/>
      <c r="O18" s="70" t="str">
        <f t="shared" si="4"/>
        <v>2J9 2697</v>
      </c>
      <c r="P18" s="71"/>
      <c r="Q18" s="45" t="str">
        <f>IF(('Údaje o rozhodčích'!BQ15)="","xxx",('Údaje o rozhodčích'!BQ15))</f>
        <v>Jiří Zachariáš</v>
      </c>
      <c r="R18" s="22">
        <f t="shared" si="5"/>
        <v>110810129</v>
      </c>
      <c r="S18" s="20" t="str">
        <f>IF(Q18="xxx","xxx",(IF(F18="",('[1]Základní údaje'!$AD22),F18)))</f>
        <v>AUV</v>
      </c>
      <c r="T18" s="59" t="str">
        <f t="shared" si="6"/>
        <v>Havlíčkův Brod</v>
      </c>
      <c r="U18" s="59" t="str">
        <f t="shared" si="7"/>
        <v>1.11.2013  14,00 hod</v>
      </c>
      <c r="V18" s="59" t="str">
        <f t="shared" si="8"/>
        <v>2.11.2013  19,00 hod</v>
      </c>
      <c r="W18" s="18" t="str">
        <f>'[1]Základní údaje'!$AE22</f>
        <v>rozhodčí</v>
      </c>
      <c r="X18" s="6">
        <f t="shared" si="9"/>
        <v>666</v>
      </c>
      <c r="Y18" s="4">
        <f t="shared" si="28"/>
        <v>314</v>
      </c>
      <c r="Z18" s="4">
        <f t="shared" si="10"/>
        <v>0</v>
      </c>
      <c r="AA18" s="5"/>
      <c r="AB18" s="5">
        <f>IF(Q18="xxx",0,(IF(N18="",'[1]Základní údaje'!$Z22,N18)))</f>
        <v>300</v>
      </c>
      <c r="AC18" s="7">
        <f t="shared" si="0"/>
        <v>1280</v>
      </c>
      <c r="AD18" s="73" t="str">
        <f t="shared" si="11"/>
        <v>2J9 2697</v>
      </c>
      <c r="AE18" s="46" t="str">
        <f>'[1]Základní údaje'!$AH22</f>
        <v/>
      </c>
      <c r="AJ18" s="93" t="str">
        <f t="shared" si="12"/>
        <v>1.11.2013  14,00 hod</v>
      </c>
      <c r="AL18" s="93">
        <f t="shared" si="13"/>
        <v>20</v>
      </c>
      <c r="AN18" s="93" t="str">
        <f t="shared" si="14"/>
        <v>2.11.2013  19,00 hod</v>
      </c>
      <c r="AP18" s="93">
        <f t="shared" si="15"/>
        <v>20</v>
      </c>
      <c r="AR18" s="96">
        <f t="shared" si="16"/>
        <v>14</v>
      </c>
      <c r="AS18" s="96">
        <f t="shared" si="17"/>
        <v>19</v>
      </c>
      <c r="AT18" s="96">
        <f t="shared" si="18"/>
        <v>5</v>
      </c>
      <c r="AU18" s="97">
        <f t="shared" si="19"/>
        <v>66</v>
      </c>
      <c r="AV18" s="98">
        <f t="shared" si="20"/>
        <v>0</v>
      </c>
      <c r="AX18" s="94" t="str">
        <f t="shared" si="21"/>
        <v xml:space="preserve">1.11.2013 </v>
      </c>
      <c r="AY18" s="94" t="str">
        <f t="shared" si="22"/>
        <v xml:space="preserve">2.11.2013 </v>
      </c>
      <c r="AZ18" s="94">
        <f t="shared" si="23"/>
        <v>1</v>
      </c>
      <c r="BA18" s="97">
        <f t="shared" si="24"/>
        <v>19</v>
      </c>
      <c r="BB18" s="97">
        <f t="shared" si="25"/>
        <v>157</v>
      </c>
      <c r="BC18" s="97">
        <f t="shared" si="26"/>
        <v>157</v>
      </c>
      <c r="BE18" s="97">
        <f t="shared" si="27"/>
        <v>314</v>
      </c>
    </row>
    <row r="19" spans="1:57" ht="23.1" customHeight="1" x14ac:dyDescent="0.25">
      <c r="A19" s="89" t="str">
        <f t="shared" si="1"/>
        <v>Belo Svitek</v>
      </c>
      <c r="B19" s="87" t="str">
        <f t="shared" si="2"/>
        <v>zást. svazu</v>
      </c>
      <c r="C19" s="88" t="str">
        <f t="shared" si="3"/>
        <v/>
      </c>
      <c r="D19" s="140"/>
      <c r="E19" s="28">
        <v>107537131</v>
      </c>
      <c r="F19" s="58" t="s">
        <v>28</v>
      </c>
      <c r="G19" s="66" t="str">
        <f>IF(('Údaje o rozhodčích'!BU16)="","",('Údaje o rozhodčích'!BU16))</f>
        <v>2AT 3814</v>
      </c>
      <c r="H19" s="101" t="s">
        <v>222</v>
      </c>
      <c r="I19" s="8" t="s">
        <v>220</v>
      </c>
      <c r="J19" s="9" t="s">
        <v>221</v>
      </c>
      <c r="K19" s="24"/>
      <c r="L19" s="25"/>
      <c r="M19" s="26"/>
      <c r="N19" s="26">
        <v>400</v>
      </c>
      <c r="O19" s="70" t="str">
        <f t="shared" si="4"/>
        <v>2AT 3814</v>
      </c>
      <c r="P19" s="71"/>
      <c r="Q19" s="45" t="str">
        <f>IF(('Údaje o rozhodčích'!BQ16)="","xxx",('Údaje o rozhodčích'!BQ16))</f>
        <v>Belo Svitek</v>
      </c>
      <c r="R19" s="22">
        <f t="shared" si="5"/>
        <v>107537131</v>
      </c>
      <c r="S19" s="20" t="str">
        <f>IF(Q19="xxx","xxx",(IF(F19="",('[1]Základní údaje'!$AD23),F19)))</f>
        <v>MHD</v>
      </c>
      <c r="T19" s="59" t="str">
        <f t="shared" si="6"/>
        <v>Hradec Králové</v>
      </c>
      <c r="U19" s="59" t="str">
        <f t="shared" si="7"/>
        <v>2.11.2013  5,00 hod</v>
      </c>
      <c r="V19" s="59" t="str">
        <f t="shared" si="8"/>
        <v>2.11.2013  18,00 hod</v>
      </c>
      <c r="W19" s="18" t="str">
        <f>'[1]Základní údaje'!$AE23</f>
        <v>zást. svazu</v>
      </c>
      <c r="X19" s="6">
        <f t="shared" si="9"/>
        <v>50</v>
      </c>
      <c r="Y19" s="4">
        <f t="shared" si="28"/>
        <v>100</v>
      </c>
      <c r="Z19" s="4">
        <f t="shared" si="10"/>
        <v>0</v>
      </c>
      <c r="AA19" s="5"/>
      <c r="AB19" s="5">
        <f>IF(Q19="xxx",0,(IF(N19="",'[1]Základní údaje'!$Z23,N19)))</f>
        <v>400</v>
      </c>
      <c r="AC19" s="7">
        <f t="shared" si="0"/>
        <v>550</v>
      </c>
      <c r="AD19" s="73" t="str">
        <f t="shared" si="11"/>
        <v>2AT 3814</v>
      </c>
      <c r="AE19" s="46" t="str">
        <f>'[1]Základní údaje'!$AH23</f>
        <v/>
      </c>
      <c r="AJ19" s="93" t="str">
        <f t="shared" si="12"/>
        <v>2.11.2013  5,00 hod</v>
      </c>
      <c r="AL19" s="93">
        <f t="shared" si="13"/>
        <v>19</v>
      </c>
      <c r="AN19" s="93" t="str">
        <f t="shared" si="14"/>
        <v>2.11.2013  18,00 hod</v>
      </c>
      <c r="AP19" s="93">
        <f t="shared" si="15"/>
        <v>20</v>
      </c>
      <c r="AR19" s="96">
        <f t="shared" si="16"/>
        <v>5</v>
      </c>
      <c r="AS19" s="96">
        <f t="shared" si="17"/>
        <v>18</v>
      </c>
      <c r="AT19" s="96">
        <f t="shared" si="18"/>
        <v>13</v>
      </c>
      <c r="AU19" s="97">
        <f t="shared" si="19"/>
        <v>100</v>
      </c>
      <c r="AV19" s="98">
        <f t="shared" si="20"/>
        <v>1</v>
      </c>
      <c r="AX19" s="94" t="str">
        <f t="shared" si="21"/>
        <v xml:space="preserve">2.11.2013 </v>
      </c>
      <c r="AY19" s="94" t="str">
        <f t="shared" si="22"/>
        <v xml:space="preserve">2.11.2013 </v>
      </c>
      <c r="AZ19" s="94">
        <f t="shared" si="23"/>
        <v>0</v>
      </c>
      <c r="BA19" s="97">
        <f t="shared" si="24"/>
        <v>11</v>
      </c>
      <c r="BB19" s="97">
        <f t="shared" si="25"/>
        <v>0</v>
      </c>
      <c r="BC19" s="97">
        <f t="shared" si="26"/>
        <v>0</v>
      </c>
      <c r="BE19" s="97">
        <f t="shared" si="27"/>
        <v>100</v>
      </c>
    </row>
    <row r="20" spans="1:57" ht="23.1" customHeight="1" x14ac:dyDescent="0.25">
      <c r="A20" s="89" t="str">
        <f t="shared" si="1"/>
        <v>Belo Svitek</v>
      </c>
      <c r="B20" s="87" t="str">
        <f t="shared" si="2"/>
        <v>vyúčtoval</v>
      </c>
      <c r="C20" s="88" t="str">
        <f t="shared" si="3"/>
        <v>!!!</v>
      </c>
      <c r="D20" s="140"/>
      <c r="E20" s="28" t="str">
        <f>IF(('Údaje o rozhodčích'!BR17)="","",('Údaje o rozhodčích'!BR17))</f>
        <v/>
      </c>
      <c r="F20" s="58" t="str">
        <f>IF(('Údaje o rozhodčích'!BT17)="","",('Údaje o rozhodčích'!BT17))</f>
        <v/>
      </c>
      <c r="G20" s="66" t="str">
        <f>IF(('Údaje o rozhodčích'!BU17)="","",('Údaje o rozhodčích'!BU17))</f>
        <v/>
      </c>
      <c r="H20" s="101" t="str">
        <f>IF(('Údaje o rozhodčích'!BS17)="","",('Údaje o rozhodčích'!BS17))</f>
        <v/>
      </c>
      <c r="I20" s="8"/>
      <c r="J20" s="9"/>
      <c r="K20" s="24"/>
      <c r="L20" s="25"/>
      <c r="M20" s="26"/>
      <c r="N20" s="26"/>
      <c r="O20" s="70" t="str">
        <f t="shared" si="4"/>
        <v/>
      </c>
      <c r="P20" s="71"/>
      <c r="Q20" s="45" t="str">
        <f>IF(('Údaje o rozhodčích'!BQ17)="","xxx",('Údaje o rozhodčích'!BQ17))</f>
        <v>Belo Svitek</v>
      </c>
      <c r="R20" s="22" t="str">
        <f t="shared" si="5"/>
        <v>? ? ? ? ?</v>
      </c>
      <c r="S20" s="20" t="str">
        <f>IF(Q20="xxx","xxx",(IF(F20="",('[1]Základní údaje'!$AD24),F20)))</f>
        <v>AUV</v>
      </c>
      <c r="T20" s="59" t="str">
        <f t="shared" si="6"/>
        <v>xxx</v>
      </c>
      <c r="U20" s="59" t="str">
        <f t="shared" si="7"/>
        <v>xxx</v>
      </c>
      <c r="V20" s="59" t="str">
        <f t="shared" si="8"/>
        <v>xxx</v>
      </c>
      <c r="W20" s="18" t="str">
        <f>'[1]Základní údaje'!$AE24</f>
        <v>vyúčtoval</v>
      </c>
      <c r="X20" s="6">
        <f t="shared" si="9"/>
        <v>0</v>
      </c>
      <c r="Y20" s="4">
        <f t="shared" si="28"/>
        <v>0</v>
      </c>
      <c r="Z20" s="4">
        <f t="shared" si="10"/>
        <v>0</v>
      </c>
      <c r="AA20" s="5"/>
      <c r="AB20" s="5">
        <f>IF(Q20="xxx",0,(IF(N20="",'[1]Základní údaje'!$Z24,N20)))</f>
        <v>400</v>
      </c>
      <c r="AC20" s="7">
        <f t="shared" si="0"/>
        <v>400</v>
      </c>
      <c r="AD20" s="73" t="str">
        <f t="shared" si="11"/>
        <v>xxx</v>
      </c>
      <c r="AE20" s="46" t="str">
        <f>'[1]Základní údaje'!$AH24</f>
        <v/>
      </c>
      <c r="AJ20" s="93">
        <f t="shared" si="12"/>
        <v>0</v>
      </c>
      <c r="AL20" s="93">
        <f t="shared" si="13"/>
        <v>1</v>
      </c>
      <c r="AN20" s="93">
        <f t="shared" si="14"/>
        <v>0</v>
      </c>
      <c r="AP20" s="93">
        <f t="shared" si="15"/>
        <v>1</v>
      </c>
      <c r="AR20" s="96">
        <f t="shared" si="16"/>
        <v>0</v>
      </c>
      <c r="AS20" s="96">
        <f t="shared" si="17"/>
        <v>0</v>
      </c>
      <c r="AT20" s="96">
        <f t="shared" si="18"/>
        <v>0</v>
      </c>
      <c r="AU20" s="97">
        <f t="shared" si="19"/>
        <v>0</v>
      </c>
      <c r="AV20" s="98">
        <f t="shared" si="20"/>
        <v>1</v>
      </c>
      <c r="AX20" s="94" t="str">
        <f t="shared" si="21"/>
        <v>0</v>
      </c>
      <c r="AY20" s="94" t="str">
        <f t="shared" si="22"/>
        <v>0</v>
      </c>
      <c r="AZ20" s="94">
        <f t="shared" si="23"/>
        <v>0</v>
      </c>
      <c r="BA20" s="97">
        <f t="shared" si="24"/>
        <v>24</v>
      </c>
      <c r="BB20" s="97">
        <f t="shared" si="25"/>
        <v>0</v>
      </c>
      <c r="BC20" s="97">
        <f t="shared" si="26"/>
        <v>0</v>
      </c>
      <c r="BE20" s="97">
        <f t="shared" si="27"/>
        <v>0</v>
      </c>
    </row>
    <row r="21" spans="1:57" ht="23.1" customHeight="1" x14ac:dyDescent="0.25">
      <c r="A21" s="89" t="str">
        <f t="shared" si="1"/>
        <v>xxx</v>
      </c>
      <c r="B21" s="87" t="str">
        <f t="shared" si="2"/>
        <v>xxx</v>
      </c>
      <c r="C21" s="88" t="str">
        <f t="shared" si="3"/>
        <v/>
      </c>
      <c r="D21" s="140"/>
      <c r="E21" s="28" t="str">
        <f>IF(('Údaje o rozhodčích'!BR18)="","",('Údaje o rozhodčích'!BR18))</f>
        <v/>
      </c>
      <c r="F21" s="58" t="str">
        <f>IF(('Údaje o rozhodčích'!BT18)="","",('Údaje o rozhodčích'!BT18))</f>
        <v/>
      </c>
      <c r="G21" s="66" t="str">
        <f>IF(('Údaje o rozhodčích'!BU18)="","",('Údaje o rozhodčích'!BU18))</f>
        <v/>
      </c>
      <c r="H21" s="101" t="str">
        <f>IF(('Údaje o rozhodčích'!BS18)="","",('Údaje o rozhodčích'!BS18))</f>
        <v/>
      </c>
      <c r="I21" s="8"/>
      <c r="J21" s="9"/>
      <c r="K21" s="24"/>
      <c r="L21" s="25"/>
      <c r="M21" s="26"/>
      <c r="N21" s="26"/>
      <c r="O21" s="70" t="str">
        <f t="shared" si="4"/>
        <v/>
      </c>
      <c r="P21" s="71"/>
      <c r="Q21" s="45" t="str">
        <f>IF(('Údaje o rozhodčích'!BQ18)="","xxx",('Údaje o rozhodčích'!BQ18))</f>
        <v>xxx</v>
      </c>
      <c r="R21" s="22" t="str">
        <f t="shared" si="5"/>
        <v>xxx</v>
      </c>
      <c r="S21" s="20" t="str">
        <f>IF(Q21="xxx","xxx",(IF(F21="",('[1]Základní údaje'!$AD25),F21)))</f>
        <v>xxx</v>
      </c>
      <c r="T21" s="59" t="str">
        <f t="shared" si="6"/>
        <v>xxx</v>
      </c>
      <c r="U21" s="59" t="str">
        <f t="shared" si="7"/>
        <v>xxx</v>
      </c>
      <c r="V21" s="59" t="str">
        <f t="shared" si="8"/>
        <v>xxx</v>
      </c>
      <c r="W21" s="18" t="str">
        <f>'[1]Základní údaje'!$AE25</f>
        <v>xxx</v>
      </c>
      <c r="X21" s="6">
        <f t="shared" si="9"/>
        <v>0</v>
      </c>
      <c r="Y21" s="4">
        <f t="shared" si="28"/>
        <v>0</v>
      </c>
      <c r="Z21" s="4">
        <f t="shared" si="10"/>
        <v>0</v>
      </c>
      <c r="AA21" s="5"/>
      <c r="AB21" s="5">
        <f>IF(Q21="xxx",0,(IF(N21="",'[1]Základní údaje'!$Z25,N21)))</f>
        <v>0</v>
      </c>
      <c r="AC21" s="7">
        <f t="shared" si="0"/>
        <v>0</v>
      </c>
      <c r="AD21" s="73" t="str">
        <f t="shared" si="11"/>
        <v>xxx</v>
      </c>
      <c r="AE21" s="46" t="str">
        <f>'[1]Základní údaje'!$AH25</f>
        <v>xxx</v>
      </c>
      <c r="AJ21" s="93">
        <f t="shared" si="12"/>
        <v>0</v>
      </c>
      <c r="AL21" s="93">
        <f t="shared" si="13"/>
        <v>1</v>
      </c>
      <c r="AN21" s="93">
        <f t="shared" si="14"/>
        <v>0</v>
      </c>
      <c r="AP21" s="93">
        <f t="shared" si="15"/>
        <v>1</v>
      </c>
      <c r="AR21" s="96">
        <f t="shared" si="16"/>
        <v>0</v>
      </c>
      <c r="AS21" s="96">
        <f t="shared" si="17"/>
        <v>0</v>
      </c>
      <c r="AT21" s="96">
        <f t="shared" si="18"/>
        <v>0</v>
      </c>
      <c r="AU21" s="97">
        <f t="shared" si="19"/>
        <v>0</v>
      </c>
      <c r="AV21" s="98">
        <f t="shared" si="20"/>
        <v>1</v>
      </c>
      <c r="AX21" s="94" t="str">
        <f t="shared" si="21"/>
        <v>0</v>
      </c>
      <c r="AY21" s="94" t="str">
        <f t="shared" si="22"/>
        <v>0</v>
      </c>
      <c r="AZ21" s="94">
        <f t="shared" si="23"/>
        <v>0</v>
      </c>
      <c r="BA21" s="97">
        <f t="shared" si="24"/>
        <v>24</v>
      </c>
      <c r="BB21" s="97">
        <f t="shared" si="25"/>
        <v>0</v>
      </c>
      <c r="BC21" s="97">
        <f t="shared" si="26"/>
        <v>0</v>
      </c>
      <c r="BE21" s="97">
        <f t="shared" si="27"/>
        <v>0</v>
      </c>
    </row>
    <row r="22" spans="1:57" ht="23.1" customHeight="1" x14ac:dyDescent="0.25">
      <c r="A22" s="89" t="str">
        <f t="shared" si="1"/>
        <v>xxx</v>
      </c>
      <c r="B22" s="87" t="str">
        <f t="shared" si="2"/>
        <v>xxx</v>
      </c>
      <c r="C22" s="88" t="str">
        <f t="shared" si="3"/>
        <v/>
      </c>
      <c r="D22" s="140"/>
      <c r="E22" s="28" t="str">
        <f>IF(('Údaje o rozhodčích'!BR19)="","",('Údaje o rozhodčích'!BR19))</f>
        <v/>
      </c>
      <c r="F22" s="58" t="str">
        <f>IF(('Údaje o rozhodčích'!BT19)="","",('Údaje o rozhodčích'!BT19))</f>
        <v/>
      </c>
      <c r="G22" s="66" t="str">
        <f>IF(('Údaje o rozhodčích'!BU19)="","",('Údaje o rozhodčích'!BU19))</f>
        <v/>
      </c>
      <c r="H22" s="101" t="str">
        <f>IF(('Údaje o rozhodčích'!BS19)="","",('Údaje o rozhodčích'!BS19))</f>
        <v/>
      </c>
      <c r="I22" s="21"/>
      <c r="J22" s="55"/>
      <c r="K22" s="24"/>
      <c r="L22" s="25"/>
      <c r="M22" s="26"/>
      <c r="N22" s="26"/>
      <c r="O22" s="70" t="str">
        <f t="shared" si="4"/>
        <v/>
      </c>
      <c r="P22" s="71"/>
      <c r="Q22" s="45" t="str">
        <f>IF(('Údaje o rozhodčích'!BQ19)="","xxx",('Údaje o rozhodčích'!BQ19))</f>
        <v>xxx</v>
      </c>
      <c r="R22" s="22" t="str">
        <f t="shared" si="5"/>
        <v>xxx</v>
      </c>
      <c r="S22" s="20" t="str">
        <f>IF(Q22="xxx","xxx",(IF(F22="",('[1]Základní údaje'!$AD26),F22)))</f>
        <v>xxx</v>
      </c>
      <c r="T22" s="59" t="str">
        <f t="shared" si="6"/>
        <v>xxx</v>
      </c>
      <c r="U22" s="59" t="str">
        <f t="shared" si="7"/>
        <v>xxx</v>
      </c>
      <c r="V22" s="59" t="str">
        <f t="shared" si="8"/>
        <v>xxx</v>
      </c>
      <c r="W22" s="18" t="str">
        <f>'[1]Základní údaje'!$AE26</f>
        <v>xxx</v>
      </c>
      <c r="X22" s="6">
        <f t="shared" si="9"/>
        <v>0</v>
      </c>
      <c r="Y22" s="4">
        <f t="shared" si="28"/>
        <v>0</v>
      </c>
      <c r="Z22" s="4">
        <f t="shared" si="10"/>
        <v>0</v>
      </c>
      <c r="AA22" s="5"/>
      <c r="AB22" s="5">
        <f>IF(Q22="xxx",0,(IF(N22="",'[1]Základní údaje'!$Z26,N22)))</f>
        <v>0</v>
      </c>
      <c r="AC22" s="7">
        <f t="shared" si="0"/>
        <v>0</v>
      </c>
      <c r="AD22" s="73" t="str">
        <f t="shared" si="11"/>
        <v>xxx</v>
      </c>
      <c r="AE22" s="46" t="str">
        <f>'[1]Základní údaje'!$AH26</f>
        <v>xxx</v>
      </c>
      <c r="AJ22" s="93">
        <f t="shared" si="12"/>
        <v>0</v>
      </c>
      <c r="AL22" s="93">
        <f t="shared" si="13"/>
        <v>1</v>
      </c>
      <c r="AN22" s="93">
        <f t="shared" si="14"/>
        <v>0</v>
      </c>
      <c r="AP22" s="93">
        <f t="shared" si="15"/>
        <v>1</v>
      </c>
      <c r="AR22" s="96">
        <f t="shared" si="16"/>
        <v>0</v>
      </c>
      <c r="AS22" s="96">
        <f t="shared" si="17"/>
        <v>0</v>
      </c>
      <c r="AT22" s="96">
        <f t="shared" si="18"/>
        <v>0</v>
      </c>
      <c r="AU22" s="97">
        <f t="shared" si="19"/>
        <v>0</v>
      </c>
      <c r="AV22" s="98">
        <f t="shared" si="20"/>
        <v>1</v>
      </c>
      <c r="AX22" s="94" t="str">
        <f t="shared" si="21"/>
        <v>0</v>
      </c>
      <c r="AY22" s="94" t="str">
        <f t="shared" si="22"/>
        <v>0</v>
      </c>
      <c r="AZ22" s="94">
        <f t="shared" si="23"/>
        <v>0</v>
      </c>
      <c r="BA22" s="97">
        <f t="shared" si="24"/>
        <v>24</v>
      </c>
      <c r="BB22" s="97">
        <f t="shared" si="25"/>
        <v>0</v>
      </c>
      <c r="BC22" s="97">
        <f t="shared" si="26"/>
        <v>0</v>
      </c>
      <c r="BE22" s="97">
        <f t="shared" si="27"/>
        <v>0</v>
      </c>
    </row>
    <row r="23" spans="1:57" ht="23.1" customHeight="1" x14ac:dyDescent="0.25">
      <c r="A23" s="89" t="str">
        <f t="shared" si="1"/>
        <v>xxx</v>
      </c>
      <c r="B23" s="87" t="str">
        <f t="shared" si="2"/>
        <v>xxx</v>
      </c>
      <c r="C23" s="88" t="str">
        <f t="shared" si="3"/>
        <v/>
      </c>
      <c r="D23" s="140"/>
      <c r="E23" s="28" t="str">
        <f>IF(('Údaje o rozhodčích'!BR20)="","",('Údaje o rozhodčích'!BR20))</f>
        <v/>
      </c>
      <c r="F23" s="58" t="str">
        <f>IF(('Údaje o rozhodčích'!BT20)="","",('Údaje o rozhodčích'!BT20))</f>
        <v/>
      </c>
      <c r="G23" s="66" t="str">
        <f>IF(('Údaje o rozhodčích'!BU20)="","",('Údaje o rozhodčích'!BU20))</f>
        <v/>
      </c>
      <c r="H23" s="101" t="str">
        <f>IF(('Údaje o rozhodčích'!BS20)="","",('Údaje o rozhodčích'!BS20))</f>
        <v/>
      </c>
      <c r="I23" s="21"/>
      <c r="J23" s="55"/>
      <c r="K23" s="24"/>
      <c r="L23" s="25"/>
      <c r="M23" s="26"/>
      <c r="N23" s="26"/>
      <c r="O23" s="70" t="str">
        <f t="shared" si="4"/>
        <v/>
      </c>
      <c r="P23" s="71"/>
      <c r="Q23" s="45" t="str">
        <f>IF(('Údaje o rozhodčích'!BQ20)="","xxx",('Údaje o rozhodčích'!BQ20))</f>
        <v>xxx</v>
      </c>
      <c r="R23" s="22" t="str">
        <f t="shared" si="5"/>
        <v>xxx</v>
      </c>
      <c r="S23" s="20" t="str">
        <f>IF(Q23="xxx","xxx",(IF(F23="",('[1]Základní údaje'!$AD27),F23)))</f>
        <v>xxx</v>
      </c>
      <c r="T23" s="59" t="str">
        <f t="shared" si="6"/>
        <v>xxx</v>
      </c>
      <c r="U23" s="59" t="str">
        <f t="shared" si="7"/>
        <v>xxx</v>
      </c>
      <c r="V23" s="59" t="str">
        <f t="shared" si="8"/>
        <v>xxx</v>
      </c>
      <c r="W23" s="18" t="str">
        <f>'[1]Základní údaje'!$AE27</f>
        <v>xxx</v>
      </c>
      <c r="X23" s="6">
        <f t="shared" si="9"/>
        <v>0</v>
      </c>
      <c r="Y23" s="4">
        <f t="shared" si="28"/>
        <v>0</v>
      </c>
      <c r="Z23" s="4">
        <f t="shared" si="10"/>
        <v>0</v>
      </c>
      <c r="AA23" s="5"/>
      <c r="AB23" s="5">
        <f>IF(Q23="xxx",0,(IF(N23="",'[1]Základní údaje'!$Z27,N23)))</f>
        <v>0</v>
      </c>
      <c r="AC23" s="7">
        <f t="shared" si="0"/>
        <v>0</v>
      </c>
      <c r="AD23" s="73" t="str">
        <f t="shared" si="11"/>
        <v>xxx</v>
      </c>
      <c r="AE23" s="46" t="str">
        <f>'[1]Základní údaje'!$AH27</f>
        <v>xxx</v>
      </c>
      <c r="AJ23" s="93">
        <f t="shared" si="12"/>
        <v>0</v>
      </c>
      <c r="AL23" s="93">
        <f t="shared" si="13"/>
        <v>1</v>
      </c>
      <c r="AN23" s="93">
        <f t="shared" si="14"/>
        <v>0</v>
      </c>
      <c r="AP23" s="93">
        <f t="shared" si="15"/>
        <v>1</v>
      </c>
      <c r="AR23" s="96">
        <f t="shared" si="16"/>
        <v>0</v>
      </c>
      <c r="AS23" s="96">
        <f t="shared" si="17"/>
        <v>0</v>
      </c>
      <c r="AT23" s="96">
        <f t="shared" si="18"/>
        <v>0</v>
      </c>
      <c r="AU23" s="97">
        <f t="shared" si="19"/>
        <v>0</v>
      </c>
      <c r="AV23" s="98">
        <f t="shared" si="20"/>
        <v>1</v>
      </c>
      <c r="AX23" s="94" t="str">
        <f t="shared" si="21"/>
        <v>0</v>
      </c>
      <c r="AY23" s="94" t="str">
        <f t="shared" si="22"/>
        <v>0</v>
      </c>
      <c r="AZ23" s="94">
        <f t="shared" si="23"/>
        <v>0</v>
      </c>
      <c r="BA23" s="97">
        <f t="shared" si="24"/>
        <v>24</v>
      </c>
      <c r="BB23" s="97">
        <f t="shared" si="25"/>
        <v>0</v>
      </c>
      <c r="BC23" s="97">
        <f t="shared" si="26"/>
        <v>0</v>
      </c>
      <c r="BE23" s="97">
        <f t="shared" si="27"/>
        <v>0</v>
      </c>
    </row>
    <row r="24" spans="1:57" ht="23.1" customHeight="1" thickBot="1" x14ac:dyDescent="0.3">
      <c r="A24" s="90" t="str">
        <f t="shared" si="1"/>
        <v>xxx</v>
      </c>
      <c r="B24" s="91" t="str">
        <f t="shared" si="2"/>
        <v>xxx</v>
      </c>
      <c r="C24" s="92" t="str">
        <f t="shared" si="3"/>
        <v/>
      </c>
      <c r="D24" s="141"/>
      <c r="E24" s="29"/>
      <c r="F24" s="58" t="str">
        <f>IF(('Údaje o rozhodčích'!BT21)="","",('Údaje o rozhodčích'!BT21))</f>
        <v/>
      </c>
      <c r="G24" s="67"/>
      <c r="H24" s="102" t="str">
        <f>IF(('Údaje o rozhodčích'!BS21)="","",('Údaje o rozhodčích'!BS21))</f>
        <v/>
      </c>
      <c r="I24" s="57"/>
      <c r="J24" s="56"/>
      <c r="K24" s="30"/>
      <c r="L24" s="31"/>
      <c r="M24" s="32"/>
      <c r="N24" s="32"/>
      <c r="O24" s="72" t="str">
        <f t="shared" si="4"/>
        <v/>
      </c>
      <c r="P24" s="71"/>
      <c r="Q24" s="45" t="str">
        <f>IF(('Údaje o rozhodčích'!BQ21)="","xxx",('Údaje o rozhodčích'!BQ21))</f>
        <v>xxx</v>
      </c>
      <c r="R24" s="22" t="str">
        <f t="shared" si="5"/>
        <v>xxx</v>
      </c>
      <c r="S24" s="20" t="str">
        <f>IF(Q24="xxx","xxx",(IF(F24="",('[1]Základní údaje'!$AD28),F24)))</f>
        <v>xxx</v>
      </c>
      <c r="T24" s="59" t="str">
        <f t="shared" si="6"/>
        <v>xxx</v>
      </c>
      <c r="U24" s="59" t="str">
        <f t="shared" si="7"/>
        <v>xxx</v>
      </c>
      <c r="V24" s="59" t="str">
        <f t="shared" si="8"/>
        <v>xxx</v>
      </c>
      <c r="W24" s="47" t="str">
        <f>'[1]Základní údaje'!$AE$28</f>
        <v>xxx</v>
      </c>
      <c r="X24" s="6">
        <f t="shared" si="9"/>
        <v>0</v>
      </c>
      <c r="Y24" s="4">
        <f t="shared" si="28"/>
        <v>0</v>
      </c>
      <c r="Z24" s="4">
        <f t="shared" si="10"/>
        <v>0</v>
      </c>
      <c r="AA24" s="48"/>
      <c r="AB24" s="48">
        <f>IF(Q24="xxx",0,(IF(N24="",'[1]Základní údaje'!$Z28,N24)))</f>
        <v>0</v>
      </c>
      <c r="AC24" s="49">
        <f t="shared" si="0"/>
        <v>0</v>
      </c>
      <c r="AD24" s="99" t="str">
        <f t="shared" si="11"/>
        <v>xxx</v>
      </c>
      <c r="AE24" s="50" t="str">
        <f>'[1]Základní údaje'!$AH28</f>
        <v>xxx</v>
      </c>
      <c r="AJ24" s="93">
        <f t="shared" si="12"/>
        <v>0</v>
      </c>
      <c r="AL24" s="93">
        <f t="shared" si="13"/>
        <v>1</v>
      </c>
      <c r="AN24" s="93">
        <f t="shared" si="14"/>
        <v>0</v>
      </c>
      <c r="AP24" s="93">
        <f t="shared" si="15"/>
        <v>1</v>
      </c>
      <c r="AR24" s="96">
        <f t="shared" si="16"/>
        <v>0</v>
      </c>
      <c r="AS24" s="96">
        <f t="shared" si="17"/>
        <v>0</v>
      </c>
      <c r="AT24" s="96">
        <f t="shared" si="18"/>
        <v>0</v>
      </c>
      <c r="AU24" s="97">
        <f t="shared" si="19"/>
        <v>0</v>
      </c>
      <c r="AV24" s="98">
        <f t="shared" si="20"/>
        <v>1</v>
      </c>
      <c r="AX24" s="94" t="str">
        <f t="shared" si="21"/>
        <v>0</v>
      </c>
      <c r="AY24" s="94" t="str">
        <f t="shared" si="22"/>
        <v>0</v>
      </c>
      <c r="AZ24" s="94">
        <f t="shared" si="23"/>
        <v>0</v>
      </c>
      <c r="BA24" s="97">
        <f t="shared" si="24"/>
        <v>24</v>
      </c>
      <c r="BB24" s="97">
        <f t="shared" si="25"/>
        <v>0</v>
      </c>
      <c r="BC24" s="97">
        <f t="shared" si="26"/>
        <v>0</v>
      </c>
      <c r="BE24" s="97">
        <f t="shared" si="27"/>
        <v>0</v>
      </c>
    </row>
    <row r="25" spans="1:57" ht="15.75" customHeight="1" thickTop="1" thickBot="1" x14ac:dyDescent="0.3"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Q25" s="156" t="s">
        <v>18</v>
      </c>
      <c r="R25" s="157"/>
      <c r="S25" s="157"/>
      <c r="T25" s="157"/>
      <c r="U25" s="157"/>
      <c r="V25" s="157"/>
      <c r="W25" s="158"/>
      <c r="X25" s="51">
        <f t="shared" ref="X25:AC25" si="30">SUM(X6:X24)</f>
        <v>6336</v>
      </c>
      <c r="Y25" s="52">
        <f>SUM(Y6:Y24)</f>
        <v>1985</v>
      </c>
      <c r="Z25" s="52">
        <f t="shared" si="30"/>
        <v>0</v>
      </c>
      <c r="AA25" s="52">
        <f t="shared" si="30"/>
        <v>0</v>
      </c>
      <c r="AB25" s="53">
        <f t="shared" si="30"/>
        <v>4870</v>
      </c>
      <c r="AC25" s="54">
        <f t="shared" si="30"/>
        <v>13191</v>
      </c>
      <c r="AD25" s="100"/>
      <c r="AE25" s="3"/>
    </row>
    <row r="26" spans="1:57" ht="4.5" customHeight="1" thickTop="1" x14ac:dyDescent="0.25">
      <c r="Q26" s="11"/>
      <c r="R26" s="12"/>
      <c r="S26" s="12"/>
      <c r="T26" s="12"/>
      <c r="U26" s="12"/>
      <c r="V26" s="12"/>
      <c r="W26" s="12"/>
      <c r="X26" s="13"/>
      <c r="Y26" s="13"/>
      <c r="Z26" s="13"/>
      <c r="AA26" s="13"/>
      <c r="AB26" s="13"/>
      <c r="AC26" s="13"/>
      <c r="AD26" s="3"/>
      <c r="AE26" s="3"/>
    </row>
    <row r="27" spans="1:57" ht="35.25" customHeight="1" x14ac:dyDescent="0.25"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pans="1:57" ht="10.5" hidden="1" customHeight="1" x14ac:dyDescent="0.25"/>
    <row r="29" spans="1:57" x14ac:dyDescent="0.25">
      <c r="Q29" s="16" t="str">
        <f>'[1]Základní údaje'!$B$7</f>
        <v>Hradec Králové, 02.11.2013</v>
      </c>
      <c r="X29" t="s">
        <v>20</v>
      </c>
      <c r="Z29" s="16" t="str">
        <f>'[1]Základní údaje'!$C$40</f>
        <v>Belo Svitek</v>
      </c>
      <c r="AC29" t="s">
        <v>19</v>
      </c>
    </row>
  </sheetData>
  <mergeCells count="13">
    <mergeCell ref="Q1:AE1"/>
    <mergeCell ref="E4:O4"/>
    <mergeCell ref="N1:N3"/>
    <mergeCell ref="F1:F3"/>
    <mergeCell ref="A4:B4"/>
    <mergeCell ref="K1:K3"/>
    <mergeCell ref="L1:L3"/>
    <mergeCell ref="M1:M3"/>
    <mergeCell ref="Q27:AE27"/>
    <mergeCell ref="Q2:AE2"/>
    <mergeCell ref="Q25:W25"/>
    <mergeCell ref="X4:Z4"/>
    <mergeCell ref="X3:Z3"/>
  </mergeCells>
  <phoneticPr fontId="0" type="noConversion"/>
  <printOptions horizontalCentered="1"/>
  <pageMargins left="0.31496062992125984" right="0.31496062992125984" top="0.11811023622047245" bottom="0.11811023622047245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03"/>
  <sheetViews>
    <sheetView tabSelected="1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I2" sqref="I2"/>
    </sheetView>
  </sheetViews>
  <sheetFormatPr defaultRowHeight="15.75" x14ac:dyDescent="0.25"/>
  <cols>
    <col min="1" max="1" width="5.25" style="94" customWidth="1"/>
    <col min="2" max="2" width="18.375" style="93" customWidth="1"/>
    <col min="3" max="3" width="10.75" style="94" customWidth="1"/>
    <col min="4" max="4" width="29.25" style="93" customWidth="1"/>
    <col min="5" max="5" width="11.625" style="93" customWidth="1"/>
    <col min="6" max="6" width="5.125" style="94" customWidth="1"/>
    <col min="7" max="7" width="10.5" style="93" customWidth="1"/>
    <col min="8" max="8" width="3.625" style="93" customWidth="1"/>
    <col min="9" max="9" width="6.25" style="94" customWidth="1"/>
    <col min="10" max="10" width="5.625" style="94" customWidth="1"/>
    <col min="11" max="11" width="17.375" style="94" customWidth="1"/>
    <col min="12" max="16" width="7.25" style="94" customWidth="1"/>
    <col min="17" max="17" width="6.125" style="94" customWidth="1"/>
    <col min="18" max="18" width="15.125" style="94" customWidth="1"/>
    <col min="19" max="19" width="12.125" style="94" customWidth="1"/>
    <col min="20" max="21" width="5.625" style="94" customWidth="1"/>
    <col min="22" max="22" width="5.5" style="94" customWidth="1"/>
    <col min="23" max="23" width="11.875" style="94" customWidth="1"/>
    <col min="24" max="24" width="5.625" style="94" customWidth="1"/>
    <col min="25" max="25" width="5" style="94" customWidth="1"/>
    <col min="26" max="26" width="9" style="93" customWidth="1"/>
    <col min="27" max="27" width="17.5" style="93" customWidth="1"/>
    <col min="28" max="28" width="5.5" style="93" customWidth="1"/>
    <col min="29" max="29" width="5.25" style="93" customWidth="1"/>
    <col min="30" max="31" width="16.625" style="93" customWidth="1"/>
    <col min="32" max="32" width="17" style="93" customWidth="1"/>
    <col min="33" max="33" width="10.625" style="93" customWidth="1"/>
    <col min="34" max="34" width="10.875" style="93" customWidth="1"/>
    <col min="35" max="35" width="3.5" style="93" customWidth="1"/>
    <col min="36" max="36" width="5" style="93" customWidth="1"/>
    <col min="37" max="37" width="16.25" style="93" customWidth="1"/>
    <col min="38" max="38" width="20.75" style="93" customWidth="1"/>
    <col min="39" max="43" width="4.875" style="93" customWidth="1"/>
    <col min="44" max="44" width="22.375" style="93" customWidth="1"/>
    <col min="45" max="49" width="4.875" style="93" customWidth="1"/>
    <col min="50" max="50" width="13.625" style="93" customWidth="1"/>
    <col min="51" max="52" width="4.875" style="93" customWidth="1"/>
    <col min="53" max="53" width="20.375" style="93" customWidth="1"/>
    <col min="54" max="55" width="4.875" style="93" customWidth="1"/>
    <col min="56" max="56" width="5.5" style="93" customWidth="1"/>
    <col min="57" max="57" width="5.625" style="94" customWidth="1"/>
    <col min="58" max="58" width="5.125" style="93" customWidth="1"/>
    <col min="59" max="59" width="13.875" style="93" customWidth="1"/>
    <col min="60" max="60" width="20" style="93" customWidth="1"/>
    <col min="61" max="61" width="10" style="93" customWidth="1"/>
    <col min="62" max="63" width="21.125" style="93" customWidth="1"/>
    <col min="64" max="64" width="9" style="93" customWidth="1"/>
    <col min="65" max="65" width="11.75" style="93" customWidth="1"/>
    <col min="66" max="66" width="5" style="93" customWidth="1"/>
    <col min="67" max="67" width="9" style="93" customWidth="1"/>
    <col min="68" max="68" width="14.75" style="93" customWidth="1"/>
    <col min="69" max="69" width="18.625" style="93" customWidth="1"/>
    <col min="70" max="70" width="12.125" style="93" customWidth="1"/>
    <col min="71" max="71" width="13.75" style="93" customWidth="1"/>
    <col min="72" max="73" width="10.25" style="93" customWidth="1"/>
    <col min="74" max="74" width="9" style="93" customWidth="1"/>
    <col min="75" max="78" width="9" style="93" hidden="1" customWidth="1"/>
    <col min="79" max="79" width="9" style="93" customWidth="1"/>
    <col min="80" max="299" width="9" style="93"/>
    <col min="300" max="300" width="15" style="93" customWidth="1"/>
    <col min="301" max="301" width="10.75" style="93" customWidth="1"/>
    <col min="302" max="302" width="23.75" style="93" customWidth="1"/>
    <col min="303" max="303" width="9.75" style="93" customWidth="1"/>
    <col min="304" max="304" width="5.125" style="93" customWidth="1"/>
    <col min="305" max="305" width="10.5" style="93" customWidth="1"/>
    <col min="306" max="555" width="9" style="93"/>
    <col min="556" max="556" width="15" style="93" customWidth="1"/>
    <col min="557" max="557" width="10.75" style="93" customWidth="1"/>
    <col min="558" max="558" width="23.75" style="93" customWidth="1"/>
    <col min="559" max="559" width="9.75" style="93" customWidth="1"/>
    <col min="560" max="560" width="5.125" style="93" customWidth="1"/>
    <col min="561" max="561" width="10.5" style="93" customWidth="1"/>
    <col min="562" max="811" width="9" style="93"/>
    <col min="812" max="812" width="15" style="93" customWidth="1"/>
    <col min="813" max="813" width="10.75" style="93" customWidth="1"/>
    <col min="814" max="814" width="23.75" style="93" customWidth="1"/>
    <col min="815" max="815" width="9.75" style="93" customWidth="1"/>
    <col min="816" max="816" width="5.125" style="93" customWidth="1"/>
    <col min="817" max="817" width="10.5" style="93" customWidth="1"/>
    <col min="818" max="1067" width="9" style="93"/>
    <col min="1068" max="1068" width="15" style="93" customWidth="1"/>
    <col min="1069" max="1069" width="10.75" style="93" customWidth="1"/>
    <col min="1070" max="1070" width="23.75" style="93" customWidth="1"/>
    <col min="1071" max="1071" width="9.75" style="93" customWidth="1"/>
    <col min="1072" max="1072" width="5.125" style="93" customWidth="1"/>
    <col min="1073" max="1073" width="10.5" style="93" customWidth="1"/>
    <col min="1074" max="1323" width="9" style="93"/>
    <col min="1324" max="1324" width="15" style="93" customWidth="1"/>
    <col min="1325" max="1325" width="10.75" style="93" customWidth="1"/>
    <col min="1326" max="1326" width="23.75" style="93" customWidth="1"/>
    <col min="1327" max="1327" width="9.75" style="93" customWidth="1"/>
    <col min="1328" max="1328" width="5.125" style="93" customWidth="1"/>
    <col min="1329" max="1329" width="10.5" style="93" customWidth="1"/>
    <col min="1330" max="1579" width="9" style="93"/>
    <col min="1580" max="1580" width="15" style="93" customWidth="1"/>
    <col min="1581" max="1581" width="10.75" style="93" customWidth="1"/>
    <col min="1582" max="1582" width="23.75" style="93" customWidth="1"/>
    <col min="1583" max="1583" width="9.75" style="93" customWidth="1"/>
    <col min="1584" max="1584" width="5.125" style="93" customWidth="1"/>
    <col min="1585" max="1585" width="10.5" style="93" customWidth="1"/>
    <col min="1586" max="1835" width="9" style="93"/>
    <col min="1836" max="1836" width="15" style="93" customWidth="1"/>
    <col min="1837" max="1837" width="10.75" style="93" customWidth="1"/>
    <col min="1838" max="1838" width="23.75" style="93" customWidth="1"/>
    <col min="1839" max="1839" width="9.75" style="93" customWidth="1"/>
    <col min="1840" max="1840" width="5.125" style="93" customWidth="1"/>
    <col min="1841" max="1841" width="10.5" style="93" customWidth="1"/>
    <col min="1842" max="2091" width="9" style="93"/>
    <col min="2092" max="2092" width="15" style="93" customWidth="1"/>
    <col min="2093" max="2093" width="10.75" style="93" customWidth="1"/>
    <col min="2094" max="2094" width="23.75" style="93" customWidth="1"/>
    <col min="2095" max="2095" width="9.75" style="93" customWidth="1"/>
    <col min="2096" max="2096" width="5.125" style="93" customWidth="1"/>
    <col min="2097" max="2097" width="10.5" style="93" customWidth="1"/>
    <col min="2098" max="2347" width="9" style="93"/>
    <col min="2348" max="2348" width="15" style="93" customWidth="1"/>
    <col min="2349" max="2349" width="10.75" style="93" customWidth="1"/>
    <col min="2350" max="2350" width="23.75" style="93" customWidth="1"/>
    <col min="2351" max="2351" width="9.75" style="93" customWidth="1"/>
    <col min="2352" max="2352" width="5.125" style="93" customWidth="1"/>
    <col min="2353" max="2353" width="10.5" style="93" customWidth="1"/>
    <col min="2354" max="2603" width="9" style="93"/>
    <col min="2604" max="2604" width="15" style="93" customWidth="1"/>
    <col min="2605" max="2605" width="10.75" style="93" customWidth="1"/>
    <col min="2606" max="2606" width="23.75" style="93" customWidth="1"/>
    <col min="2607" max="2607" width="9.75" style="93" customWidth="1"/>
    <col min="2608" max="2608" width="5.125" style="93" customWidth="1"/>
    <col min="2609" max="2609" width="10.5" style="93" customWidth="1"/>
    <col min="2610" max="2859" width="9" style="93"/>
    <col min="2860" max="2860" width="15" style="93" customWidth="1"/>
    <col min="2861" max="2861" width="10.75" style="93" customWidth="1"/>
    <col min="2862" max="2862" width="23.75" style="93" customWidth="1"/>
    <col min="2863" max="2863" width="9.75" style="93" customWidth="1"/>
    <col min="2864" max="2864" width="5.125" style="93" customWidth="1"/>
    <col min="2865" max="2865" width="10.5" style="93" customWidth="1"/>
    <col min="2866" max="3115" width="9" style="93"/>
    <col min="3116" max="3116" width="15" style="93" customWidth="1"/>
    <col min="3117" max="3117" width="10.75" style="93" customWidth="1"/>
    <col min="3118" max="3118" width="23.75" style="93" customWidth="1"/>
    <col min="3119" max="3119" width="9.75" style="93" customWidth="1"/>
    <col min="3120" max="3120" width="5.125" style="93" customWidth="1"/>
    <col min="3121" max="3121" width="10.5" style="93" customWidth="1"/>
    <col min="3122" max="3371" width="9" style="93"/>
    <col min="3372" max="3372" width="15" style="93" customWidth="1"/>
    <col min="3373" max="3373" width="10.75" style="93" customWidth="1"/>
    <col min="3374" max="3374" width="23.75" style="93" customWidth="1"/>
    <col min="3375" max="3375" width="9.75" style="93" customWidth="1"/>
    <col min="3376" max="3376" width="5.125" style="93" customWidth="1"/>
    <col min="3377" max="3377" width="10.5" style="93" customWidth="1"/>
    <col min="3378" max="3627" width="9" style="93"/>
    <col min="3628" max="3628" width="15" style="93" customWidth="1"/>
    <col min="3629" max="3629" width="10.75" style="93" customWidth="1"/>
    <col min="3630" max="3630" width="23.75" style="93" customWidth="1"/>
    <col min="3631" max="3631" width="9.75" style="93" customWidth="1"/>
    <col min="3632" max="3632" width="5.125" style="93" customWidth="1"/>
    <col min="3633" max="3633" width="10.5" style="93" customWidth="1"/>
    <col min="3634" max="3883" width="9" style="93"/>
    <col min="3884" max="3884" width="15" style="93" customWidth="1"/>
    <col min="3885" max="3885" width="10.75" style="93" customWidth="1"/>
    <col min="3886" max="3886" width="23.75" style="93" customWidth="1"/>
    <col min="3887" max="3887" width="9.75" style="93" customWidth="1"/>
    <col min="3888" max="3888" width="5.125" style="93" customWidth="1"/>
    <col min="3889" max="3889" width="10.5" style="93" customWidth="1"/>
    <col min="3890" max="4139" width="9" style="93"/>
    <col min="4140" max="4140" width="15" style="93" customWidth="1"/>
    <col min="4141" max="4141" width="10.75" style="93" customWidth="1"/>
    <col min="4142" max="4142" width="23.75" style="93" customWidth="1"/>
    <col min="4143" max="4143" width="9.75" style="93" customWidth="1"/>
    <col min="4144" max="4144" width="5.125" style="93" customWidth="1"/>
    <col min="4145" max="4145" width="10.5" style="93" customWidth="1"/>
    <col min="4146" max="4395" width="9" style="93"/>
    <col min="4396" max="4396" width="15" style="93" customWidth="1"/>
    <col min="4397" max="4397" width="10.75" style="93" customWidth="1"/>
    <col min="4398" max="4398" width="23.75" style="93" customWidth="1"/>
    <col min="4399" max="4399" width="9.75" style="93" customWidth="1"/>
    <col min="4400" max="4400" width="5.125" style="93" customWidth="1"/>
    <col min="4401" max="4401" width="10.5" style="93" customWidth="1"/>
    <col min="4402" max="4651" width="9" style="93"/>
    <col min="4652" max="4652" width="15" style="93" customWidth="1"/>
    <col min="4653" max="4653" width="10.75" style="93" customWidth="1"/>
    <col min="4654" max="4654" width="23.75" style="93" customWidth="1"/>
    <col min="4655" max="4655" width="9.75" style="93" customWidth="1"/>
    <col min="4656" max="4656" width="5.125" style="93" customWidth="1"/>
    <col min="4657" max="4657" width="10.5" style="93" customWidth="1"/>
    <col min="4658" max="4907" width="9" style="93"/>
    <col min="4908" max="4908" width="15" style="93" customWidth="1"/>
    <col min="4909" max="4909" width="10.75" style="93" customWidth="1"/>
    <col min="4910" max="4910" width="23.75" style="93" customWidth="1"/>
    <col min="4911" max="4911" width="9.75" style="93" customWidth="1"/>
    <col min="4912" max="4912" width="5.125" style="93" customWidth="1"/>
    <col min="4913" max="4913" width="10.5" style="93" customWidth="1"/>
    <col min="4914" max="5163" width="9" style="93"/>
    <col min="5164" max="5164" width="15" style="93" customWidth="1"/>
    <col min="5165" max="5165" width="10.75" style="93" customWidth="1"/>
    <col min="5166" max="5166" width="23.75" style="93" customWidth="1"/>
    <col min="5167" max="5167" width="9.75" style="93" customWidth="1"/>
    <col min="5168" max="5168" width="5.125" style="93" customWidth="1"/>
    <col min="5169" max="5169" width="10.5" style="93" customWidth="1"/>
    <col min="5170" max="5419" width="9" style="93"/>
    <col min="5420" max="5420" width="15" style="93" customWidth="1"/>
    <col min="5421" max="5421" width="10.75" style="93" customWidth="1"/>
    <col min="5422" max="5422" width="23.75" style="93" customWidth="1"/>
    <col min="5423" max="5423" width="9.75" style="93" customWidth="1"/>
    <col min="5424" max="5424" width="5.125" style="93" customWidth="1"/>
    <col min="5425" max="5425" width="10.5" style="93" customWidth="1"/>
    <col min="5426" max="5675" width="9" style="93"/>
    <col min="5676" max="5676" width="15" style="93" customWidth="1"/>
    <col min="5677" max="5677" width="10.75" style="93" customWidth="1"/>
    <col min="5678" max="5678" width="23.75" style="93" customWidth="1"/>
    <col min="5679" max="5679" width="9.75" style="93" customWidth="1"/>
    <col min="5680" max="5680" width="5.125" style="93" customWidth="1"/>
    <col min="5681" max="5681" width="10.5" style="93" customWidth="1"/>
    <col min="5682" max="5931" width="9" style="93"/>
    <col min="5932" max="5932" width="15" style="93" customWidth="1"/>
    <col min="5933" max="5933" width="10.75" style="93" customWidth="1"/>
    <col min="5934" max="5934" width="23.75" style="93" customWidth="1"/>
    <col min="5935" max="5935" width="9.75" style="93" customWidth="1"/>
    <col min="5936" max="5936" width="5.125" style="93" customWidth="1"/>
    <col min="5937" max="5937" width="10.5" style="93" customWidth="1"/>
    <col min="5938" max="6187" width="9" style="93"/>
    <col min="6188" max="6188" width="15" style="93" customWidth="1"/>
    <col min="6189" max="6189" width="10.75" style="93" customWidth="1"/>
    <col min="6190" max="6190" width="23.75" style="93" customWidth="1"/>
    <col min="6191" max="6191" width="9.75" style="93" customWidth="1"/>
    <col min="6192" max="6192" width="5.125" style="93" customWidth="1"/>
    <col min="6193" max="6193" width="10.5" style="93" customWidth="1"/>
    <col min="6194" max="6443" width="9" style="93"/>
    <col min="6444" max="6444" width="15" style="93" customWidth="1"/>
    <col min="6445" max="6445" width="10.75" style="93" customWidth="1"/>
    <col min="6446" max="6446" width="23.75" style="93" customWidth="1"/>
    <col min="6447" max="6447" width="9.75" style="93" customWidth="1"/>
    <col min="6448" max="6448" width="5.125" style="93" customWidth="1"/>
    <col min="6449" max="6449" width="10.5" style="93" customWidth="1"/>
    <col min="6450" max="6699" width="9" style="93"/>
    <col min="6700" max="6700" width="15" style="93" customWidth="1"/>
    <col min="6701" max="6701" width="10.75" style="93" customWidth="1"/>
    <col min="6702" max="6702" width="23.75" style="93" customWidth="1"/>
    <col min="6703" max="6703" width="9.75" style="93" customWidth="1"/>
    <col min="6704" max="6704" width="5.125" style="93" customWidth="1"/>
    <col min="6705" max="6705" width="10.5" style="93" customWidth="1"/>
    <col min="6706" max="6955" width="9" style="93"/>
    <col min="6956" max="6956" width="15" style="93" customWidth="1"/>
    <col min="6957" max="6957" width="10.75" style="93" customWidth="1"/>
    <col min="6958" max="6958" width="23.75" style="93" customWidth="1"/>
    <col min="6959" max="6959" width="9.75" style="93" customWidth="1"/>
    <col min="6960" max="6960" width="5.125" style="93" customWidth="1"/>
    <col min="6961" max="6961" width="10.5" style="93" customWidth="1"/>
    <col min="6962" max="7211" width="9" style="93"/>
    <col min="7212" max="7212" width="15" style="93" customWidth="1"/>
    <col min="7213" max="7213" width="10.75" style="93" customWidth="1"/>
    <col min="7214" max="7214" width="23.75" style="93" customWidth="1"/>
    <col min="7215" max="7215" width="9.75" style="93" customWidth="1"/>
    <col min="7216" max="7216" width="5.125" style="93" customWidth="1"/>
    <col min="7217" max="7217" width="10.5" style="93" customWidth="1"/>
    <col min="7218" max="7467" width="9" style="93"/>
    <col min="7468" max="7468" width="15" style="93" customWidth="1"/>
    <col min="7469" max="7469" width="10.75" style="93" customWidth="1"/>
    <col min="7470" max="7470" width="23.75" style="93" customWidth="1"/>
    <col min="7471" max="7471" width="9.75" style="93" customWidth="1"/>
    <col min="7472" max="7472" width="5.125" style="93" customWidth="1"/>
    <col min="7473" max="7473" width="10.5" style="93" customWidth="1"/>
    <col min="7474" max="7723" width="9" style="93"/>
    <col min="7724" max="7724" width="15" style="93" customWidth="1"/>
    <col min="7725" max="7725" width="10.75" style="93" customWidth="1"/>
    <col min="7726" max="7726" width="23.75" style="93" customWidth="1"/>
    <col min="7727" max="7727" width="9.75" style="93" customWidth="1"/>
    <col min="7728" max="7728" width="5.125" style="93" customWidth="1"/>
    <col min="7729" max="7729" width="10.5" style="93" customWidth="1"/>
    <col min="7730" max="7979" width="9" style="93"/>
    <col min="7980" max="7980" width="15" style="93" customWidth="1"/>
    <col min="7981" max="7981" width="10.75" style="93" customWidth="1"/>
    <col min="7982" max="7982" width="23.75" style="93" customWidth="1"/>
    <col min="7983" max="7983" width="9.75" style="93" customWidth="1"/>
    <col min="7984" max="7984" width="5.125" style="93" customWidth="1"/>
    <col min="7985" max="7985" width="10.5" style="93" customWidth="1"/>
    <col min="7986" max="8235" width="9" style="93"/>
    <col min="8236" max="8236" width="15" style="93" customWidth="1"/>
    <col min="8237" max="8237" width="10.75" style="93" customWidth="1"/>
    <col min="8238" max="8238" width="23.75" style="93" customWidth="1"/>
    <col min="8239" max="8239" width="9.75" style="93" customWidth="1"/>
    <col min="8240" max="8240" width="5.125" style="93" customWidth="1"/>
    <col min="8241" max="8241" width="10.5" style="93" customWidth="1"/>
    <col min="8242" max="8491" width="9" style="93"/>
    <col min="8492" max="8492" width="15" style="93" customWidth="1"/>
    <col min="8493" max="8493" width="10.75" style="93" customWidth="1"/>
    <col min="8494" max="8494" width="23.75" style="93" customWidth="1"/>
    <col min="8495" max="8495" width="9.75" style="93" customWidth="1"/>
    <col min="8496" max="8496" width="5.125" style="93" customWidth="1"/>
    <col min="8497" max="8497" width="10.5" style="93" customWidth="1"/>
    <col min="8498" max="8747" width="9" style="93"/>
    <col min="8748" max="8748" width="15" style="93" customWidth="1"/>
    <col min="8749" max="8749" width="10.75" style="93" customWidth="1"/>
    <col min="8750" max="8750" width="23.75" style="93" customWidth="1"/>
    <col min="8751" max="8751" width="9.75" style="93" customWidth="1"/>
    <col min="8752" max="8752" width="5.125" style="93" customWidth="1"/>
    <col min="8753" max="8753" width="10.5" style="93" customWidth="1"/>
    <col min="8754" max="9003" width="9" style="93"/>
    <col min="9004" max="9004" width="15" style="93" customWidth="1"/>
    <col min="9005" max="9005" width="10.75" style="93" customWidth="1"/>
    <col min="9006" max="9006" width="23.75" style="93" customWidth="1"/>
    <col min="9007" max="9007" width="9.75" style="93" customWidth="1"/>
    <col min="9008" max="9008" width="5.125" style="93" customWidth="1"/>
    <col min="9009" max="9009" width="10.5" style="93" customWidth="1"/>
    <col min="9010" max="9259" width="9" style="93"/>
    <col min="9260" max="9260" width="15" style="93" customWidth="1"/>
    <col min="9261" max="9261" width="10.75" style="93" customWidth="1"/>
    <col min="9262" max="9262" width="23.75" style="93" customWidth="1"/>
    <col min="9263" max="9263" width="9.75" style="93" customWidth="1"/>
    <col min="9264" max="9264" width="5.125" style="93" customWidth="1"/>
    <col min="9265" max="9265" width="10.5" style="93" customWidth="1"/>
    <col min="9266" max="9515" width="9" style="93"/>
    <col min="9516" max="9516" width="15" style="93" customWidth="1"/>
    <col min="9517" max="9517" width="10.75" style="93" customWidth="1"/>
    <col min="9518" max="9518" width="23.75" style="93" customWidth="1"/>
    <col min="9519" max="9519" width="9.75" style="93" customWidth="1"/>
    <col min="9520" max="9520" width="5.125" style="93" customWidth="1"/>
    <col min="9521" max="9521" width="10.5" style="93" customWidth="1"/>
    <col min="9522" max="9771" width="9" style="93"/>
    <col min="9772" max="9772" width="15" style="93" customWidth="1"/>
    <col min="9773" max="9773" width="10.75" style="93" customWidth="1"/>
    <col min="9774" max="9774" width="23.75" style="93" customWidth="1"/>
    <col min="9775" max="9775" width="9.75" style="93" customWidth="1"/>
    <col min="9776" max="9776" width="5.125" style="93" customWidth="1"/>
    <col min="9777" max="9777" width="10.5" style="93" customWidth="1"/>
    <col min="9778" max="10027" width="9" style="93"/>
    <col min="10028" max="10028" width="15" style="93" customWidth="1"/>
    <col min="10029" max="10029" width="10.75" style="93" customWidth="1"/>
    <col min="10030" max="10030" width="23.75" style="93" customWidth="1"/>
    <col min="10031" max="10031" width="9.75" style="93" customWidth="1"/>
    <col min="10032" max="10032" width="5.125" style="93" customWidth="1"/>
    <col min="10033" max="10033" width="10.5" style="93" customWidth="1"/>
    <col min="10034" max="10283" width="9" style="93"/>
    <col min="10284" max="10284" width="15" style="93" customWidth="1"/>
    <col min="10285" max="10285" width="10.75" style="93" customWidth="1"/>
    <col min="10286" max="10286" width="23.75" style="93" customWidth="1"/>
    <col min="10287" max="10287" width="9.75" style="93" customWidth="1"/>
    <col min="10288" max="10288" width="5.125" style="93" customWidth="1"/>
    <col min="10289" max="10289" width="10.5" style="93" customWidth="1"/>
    <col min="10290" max="10539" width="9" style="93"/>
    <col min="10540" max="10540" width="15" style="93" customWidth="1"/>
    <col min="10541" max="10541" width="10.75" style="93" customWidth="1"/>
    <col min="10542" max="10542" width="23.75" style="93" customWidth="1"/>
    <col min="10543" max="10543" width="9.75" style="93" customWidth="1"/>
    <col min="10544" max="10544" width="5.125" style="93" customWidth="1"/>
    <col min="10545" max="10545" width="10.5" style="93" customWidth="1"/>
    <col min="10546" max="10795" width="9" style="93"/>
    <col min="10796" max="10796" width="15" style="93" customWidth="1"/>
    <col min="10797" max="10797" width="10.75" style="93" customWidth="1"/>
    <col min="10798" max="10798" width="23.75" style="93" customWidth="1"/>
    <col min="10799" max="10799" width="9.75" style="93" customWidth="1"/>
    <col min="10800" max="10800" width="5.125" style="93" customWidth="1"/>
    <col min="10801" max="10801" width="10.5" style="93" customWidth="1"/>
    <col min="10802" max="11051" width="9" style="93"/>
    <col min="11052" max="11052" width="15" style="93" customWidth="1"/>
    <col min="11053" max="11053" width="10.75" style="93" customWidth="1"/>
    <col min="11054" max="11054" width="23.75" style="93" customWidth="1"/>
    <col min="11055" max="11055" width="9.75" style="93" customWidth="1"/>
    <col min="11056" max="11056" width="5.125" style="93" customWidth="1"/>
    <col min="11057" max="11057" width="10.5" style="93" customWidth="1"/>
    <col min="11058" max="11307" width="9" style="93"/>
    <col min="11308" max="11308" width="15" style="93" customWidth="1"/>
    <col min="11309" max="11309" width="10.75" style="93" customWidth="1"/>
    <col min="11310" max="11310" width="23.75" style="93" customWidth="1"/>
    <col min="11311" max="11311" width="9.75" style="93" customWidth="1"/>
    <col min="11312" max="11312" width="5.125" style="93" customWidth="1"/>
    <col min="11313" max="11313" width="10.5" style="93" customWidth="1"/>
    <col min="11314" max="11563" width="9" style="93"/>
    <col min="11564" max="11564" width="15" style="93" customWidth="1"/>
    <col min="11565" max="11565" width="10.75" style="93" customWidth="1"/>
    <col min="11566" max="11566" width="23.75" style="93" customWidth="1"/>
    <col min="11567" max="11567" width="9.75" style="93" customWidth="1"/>
    <col min="11568" max="11568" width="5.125" style="93" customWidth="1"/>
    <col min="11569" max="11569" width="10.5" style="93" customWidth="1"/>
    <col min="11570" max="11819" width="9" style="93"/>
    <col min="11820" max="11820" width="15" style="93" customWidth="1"/>
    <col min="11821" max="11821" width="10.75" style="93" customWidth="1"/>
    <col min="11822" max="11822" width="23.75" style="93" customWidth="1"/>
    <col min="11823" max="11823" width="9.75" style="93" customWidth="1"/>
    <col min="11824" max="11824" width="5.125" style="93" customWidth="1"/>
    <col min="11825" max="11825" width="10.5" style="93" customWidth="1"/>
    <col min="11826" max="12075" width="9" style="93"/>
    <col min="12076" max="12076" width="15" style="93" customWidth="1"/>
    <col min="12077" max="12077" width="10.75" style="93" customWidth="1"/>
    <col min="12078" max="12078" width="23.75" style="93" customWidth="1"/>
    <col min="12079" max="12079" width="9.75" style="93" customWidth="1"/>
    <col min="12080" max="12080" width="5.125" style="93" customWidth="1"/>
    <col min="12081" max="12081" width="10.5" style="93" customWidth="1"/>
    <col min="12082" max="12331" width="9" style="93"/>
    <col min="12332" max="12332" width="15" style="93" customWidth="1"/>
    <col min="12333" max="12333" width="10.75" style="93" customWidth="1"/>
    <col min="12334" max="12334" width="23.75" style="93" customWidth="1"/>
    <col min="12335" max="12335" width="9.75" style="93" customWidth="1"/>
    <col min="12336" max="12336" width="5.125" style="93" customWidth="1"/>
    <col min="12337" max="12337" width="10.5" style="93" customWidth="1"/>
    <col min="12338" max="12587" width="9" style="93"/>
    <col min="12588" max="12588" width="15" style="93" customWidth="1"/>
    <col min="12589" max="12589" width="10.75" style="93" customWidth="1"/>
    <col min="12590" max="12590" width="23.75" style="93" customWidth="1"/>
    <col min="12591" max="12591" width="9.75" style="93" customWidth="1"/>
    <col min="12592" max="12592" width="5.125" style="93" customWidth="1"/>
    <col min="12593" max="12593" width="10.5" style="93" customWidth="1"/>
    <col min="12594" max="12843" width="9" style="93"/>
    <col min="12844" max="12844" width="15" style="93" customWidth="1"/>
    <col min="12845" max="12845" width="10.75" style="93" customWidth="1"/>
    <col min="12846" max="12846" width="23.75" style="93" customWidth="1"/>
    <col min="12847" max="12847" width="9.75" style="93" customWidth="1"/>
    <col min="12848" max="12848" width="5.125" style="93" customWidth="1"/>
    <col min="12849" max="12849" width="10.5" style="93" customWidth="1"/>
    <col min="12850" max="13099" width="9" style="93"/>
    <col min="13100" max="13100" width="15" style="93" customWidth="1"/>
    <col min="13101" max="13101" width="10.75" style="93" customWidth="1"/>
    <col min="13102" max="13102" width="23.75" style="93" customWidth="1"/>
    <col min="13103" max="13103" width="9.75" style="93" customWidth="1"/>
    <col min="13104" max="13104" width="5.125" style="93" customWidth="1"/>
    <col min="13105" max="13105" width="10.5" style="93" customWidth="1"/>
    <col min="13106" max="13355" width="9" style="93"/>
    <col min="13356" max="13356" width="15" style="93" customWidth="1"/>
    <col min="13357" max="13357" width="10.75" style="93" customWidth="1"/>
    <col min="13358" max="13358" width="23.75" style="93" customWidth="1"/>
    <col min="13359" max="13359" width="9.75" style="93" customWidth="1"/>
    <col min="13360" max="13360" width="5.125" style="93" customWidth="1"/>
    <col min="13361" max="13361" width="10.5" style="93" customWidth="1"/>
    <col min="13362" max="13611" width="9" style="93"/>
    <col min="13612" max="13612" width="15" style="93" customWidth="1"/>
    <col min="13613" max="13613" width="10.75" style="93" customWidth="1"/>
    <col min="13614" max="13614" width="23.75" style="93" customWidth="1"/>
    <col min="13615" max="13615" width="9.75" style="93" customWidth="1"/>
    <col min="13616" max="13616" width="5.125" style="93" customWidth="1"/>
    <col min="13617" max="13617" width="10.5" style="93" customWidth="1"/>
    <col min="13618" max="13867" width="9" style="93"/>
    <col min="13868" max="13868" width="15" style="93" customWidth="1"/>
    <col min="13869" max="13869" width="10.75" style="93" customWidth="1"/>
    <col min="13870" max="13870" width="23.75" style="93" customWidth="1"/>
    <col min="13871" max="13871" width="9.75" style="93" customWidth="1"/>
    <col min="13872" max="13872" width="5.125" style="93" customWidth="1"/>
    <col min="13873" max="13873" width="10.5" style="93" customWidth="1"/>
    <col min="13874" max="14123" width="9" style="93"/>
    <col min="14124" max="14124" width="15" style="93" customWidth="1"/>
    <col min="14125" max="14125" width="10.75" style="93" customWidth="1"/>
    <col min="14126" max="14126" width="23.75" style="93" customWidth="1"/>
    <col min="14127" max="14127" width="9.75" style="93" customWidth="1"/>
    <col min="14128" max="14128" width="5.125" style="93" customWidth="1"/>
    <col min="14129" max="14129" width="10.5" style="93" customWidth="1"/>
    <col min="14130" max="14379" width="9" style="93"/>
    <col min="14380" max="14380" width="15" style="93" customWidth="1"/>
    <col min="14381" max="14381" width="10.75" style="93" customWidth="1"/>
    <col min="14382" max="14382" width="23.75" style="93" customWidth="1"/>
    <col min="14383" max="14383" width="9.75" style="93" customWidth="1"/>
    <col min="14384" max="14384" width="5.125" style="93" customWidth="1"/>
    <col min="14385" max="14385" width="10.5" style="93" customWidth="1"/>
    <col min="14386" max="14635" width="9" style="93"/>
    <col min="14636" max="14636" width="15" style="93" customWidth="1"/>
    <col min="14637" max="14637" width="10.75" style="93" customWidth="1"/>
    <col min="14638" max="14638" width="23.75" style="93" customWidth="1"/>
    <col min="14639" max="14639" width="9.75" style="93" customWidth="1"/>
    <col min="14640" max="14640" width="5.125" style="93" customWidth="1"/>
    <col min="14641" max="14641" width="10.5" style="93" customWidth="1"/>
    <col min="14642" max="14891" width="9" style="93"/>
    <col min="14892" max="14892" width="15" style="93" customWidth="1"/>
    <col min="14893" max="14893" width="10.75" style="93" customWidth="1"/>
    <col min="14894" max="14894" width="23.75" style="93" customWidth="1"/>
    <col min="14895" max="14895" width="9.75" style="93" customWidth="1"/>
    <col min="14896" max="14896" width="5.125" style="93" customWidth="1"/>
    <col min="14897" max="14897" width="10.5" style="93" customWidth="1"/>
    <col min="14898" max="15147" width="9" style="93"/>
    <col min="15148" max="15148" width="15" style="93" customWidth="1"/>
    <col min="15149" max="15149" width="10.75" style="93" customWidth="1"/>
    <col min="15150" max="15150" width="23.75" style="93" customWidth="1"/>
    <col min="15151" max="15151" width="9.75" style="93" customWidth="1"/>
    <col min="15152" max="15152" width="5.125" style="93" customWidth="1"/>
    <col min="15153" max="15153" width="10.5" style="93" customWidth="1"/>
    <col min="15154" max="15403" width="9" style="93"/>
    <col min="15404" max="15404" width="15" style="93" customWidth="1"/>
    <col min="15405" max="15405" width="10.75" style="93" customWidth="1"/>
    <col min="15406" max="15406" width="23.75" style="93" customWidth="1"/>
    <col min="15407" max="15407" width="9.75" style="93" customWidth="1"/>
    <col min="15408" max="15408" width="5.125" style="93" customWidth="1"/>
    <col min="15409" max="15409" width="10.5" style="93" customWidth="1"/>
    <col min="15410" max="15659" width="9" style="93"/>
    <col min="15660" max="15660" width="15" style="93" customWidth="1"/>
    <col min="15661" max="15661" width="10.75" style="93" customWidth="1"/>
    <col min="15662" max="15662" width="23.75" style="93" customWidth="1"/>
    <col min="15663" max="15663" width="9.75" style="93" customWidth="1"/>
    <col min="15664" max="15664" width="5.125" style="93" customWidth="1"/>
    <col min="15665" max="15665" width="10.5" style="93" customWidth="1"/>
    <col min="15666" max="15915" width="9" style="93"/>
    <col min="15916" max="15916" width="15" style="93" customWidth="1"/>
    <col min="15917" max="15917" width="10.75" style="93" customWidth="1"/>
    <col min="15918" max="15918" width="23.75" style="93" customWidth="1"/>
    <col min="15919" max="15919" width="9.75" style="93" customWidth="1"/>
    <col min="15920" max="15920" width="5.125" style="93" customWidth="1"/>
    <col min="15921" max="15921" width="10.5" style="93" customWidth="1"/>
    <col min="15922" max="16171" width="9" style="93"/>
    <col min="16172" max="16172" width="15" style="93" customWidth="1"/>
    <col min="16173" max="16173" width="10.75" style="93" customWidth="1"/>
    <col min="16174" max="16174" width="23.75" style="93" customWidth="1"/>
    <col min="16175" max="16175" width="9.75" style="93" customWidth="1"/>
    <col min="16176" max="16176" width="5.125" style="93" customWidth="1"/>
    <col min="16177" max="16177" width="10.5" style="93" customWidth="1"/>
    <col min="16178" max="16384" width="9" style="93"/>
  </cols>
  <sheetData>
    <row r="1" spans="1:78" s="105" customFormat="1" ht="20.25" x14ac:dyDescent="0.25">
      <c r="A1" s="106"/>
      <c r="B1" s="103"/>
      <c r="C1" s="104" t="s">
        <v>35</v>
      </c>
      <c r="D1" s="103"/>
      <c r="E1" s="120"/>
      <c r="F1" s="121"/>
      <c r="G1" s="120"/>
      <c r="H1" s="120"/>
      <c r="I1" s="123" t="s">
        <v>194</v>
      </c>
      <c r="J1" s="123" t="s">
        <v>198</v>
      </c>
      <c r="K1" s="123" t="s">
        <v>199</v>
      </c>
      <c r="L1" s="121"/>
      <c r="M1" s="122"/>
      <c r="N1" s="122"/>
      <c r="O1" s="123"/>
      <c r="P1" s="123"/>
      <c r="Q1" s="123"/>
      <c r="R1" s="122"/>
      <c r="S1" s="121"/>
      <c r="T1" s="121"/>
      <c r="U1" s="106"/>
      <c r="V1" s="106"/>
      <c r="W1" s="106"/>
      <c r="X1" s="106"/>
      <c r="Y1" s="106"/>
      <c r="AC1" s="168" t="s">
        <v>205</v>
      </c>
      <c r="AD1" s="168"/>
      <c r="AE1" s="168"/>
      <c r="AF1" s="168"/>
      <c r="AG1" s="168"/>
      <c r="AH1" s="168"/>
      <c r="AX1" s="143" t="str">
        <f>K1</f>
        <v>DiS.</v>
      </c>
      <c r="BE1" s="106"/>
      <c r="BI1" s="143" t="str">
        <f>I1</f>
        <v>ing.</v>
      </c>
      <c r="BJ1" s="143" t="str">
        <f t="shared" ref="BJ1:BK1" si="0">J1</f>
        <v>Mgr.</v>
      </c>
      <c r="BK1" s="143" t="str">
        <f t="shared" si="0"/>
        <v>DiS.</v>
      </c>
      <c r="BM1" s="143" t="s">
        <v>206</v>
      </c>
      <c r="BN1" s="143"/>
      <c r="BO1" s="143" t="s">
        <v>207</v>
      </c>
    </row>
    <row r="2" spans="1:78" s="109" customFormat="1" ht="25.5" customHeight="1" x14ac:dyDescent="0.25">
      <c r="A2" s="116"/>
      <c r="B2" s="107" t="s">
        <v>36</v>
      </c>
      <c r="C2" s="108" t="s">
        <v>37</v>
      </c>
      <c r="D2" s="107" t="s">
        <v>38</v>
      </c>
      <c r="E2" s="107" t="s">
        <v>39</v>
      </c>
      <c r="F2" s="108" t="s">
        <v>40</v>
      </c>
      <c r="G2" s="107" t="s">
        <v>41</v>
      </c>
      <c r="I2" s="116"/>
      <c r="J2" s="118" t="s">
        <v>178</v>
      </c>
      <c r="K2" s="118" t="s">
        <v>186</v>
      </c>
      <c r="L2" s="124" t="s">
        <v>178</v>
      </c>
      <c r="M2" s="166" t="s">
        <v>183</v>
      </c>
      <c r="N2" s="166"/>
      <c r="O2" s="166"/>
      <c r="P2" s="166"/>
      <c r="Q2" s="118"/>
      <c r="R2" s="118" t="s">
        <v>184</v>
      </c>
      <c r="S2" s="118" t="s">
        <v>36</v>
      </c>
      <c r="T2" s="118" t="s">
        <v>187</v>
      </c>
      <c r="U2" s="116"/>
      <c r="V2" s="116"/>
      <c r="W2" s="116"/>
      <c r="X2" s="116"/>
      <c r="Y2" s="116" t="s">
        <v>178</v>
      </c>
      <c r="Z2" s="116" t="s">
        <v>180</v>
      </c>
      <c r="AA2" s="116" t="s">
        <v>181</v>
      </c>
      <c r="AB2" s="116"/>
      <c r="AC2" s="144" t="s">
        <v>191</v>
      </c>
      <c r="AD2" s="145" t="s">
        <v>188</v>
      </c>
      <c r="AE2" s="145"/>
      <c r="AF2" s="145" t="s">
        <v>181</v>
      </c>
      <c r="AG2" s="145" t="s">
        <v>189</v>
      </c>
      <c r="AH2" s="146" t="s">
        <v>190</v>
      </c>
      <c r="AK2" s="116" t="s">
        <v>22</v>
      </c>
      <c r="AL2" s="116" t="s">
        <v>36</v>
      </c>
      <c r="AM2" s="116" t="s">
        <v>178</v>
      </c>
      <c r="AN2" s="167" t="s">
        <v>183</v>
      </c>
      <c r="AO2" s="167"/>
      <c r="AP2" s="167"/>
      <c r="AQ2" s="167"/>
      <c r="AR2" s="116" t="s">
        <v>202</v>
      </c>
      <c r="AS2" s="116"/>
      <c r="AT2" s="167" t="s">
        <v>204</v>
      </c>
      <c r="AU2" s="167"/>
      <c r="AV2" s="167"/>
      <c r="AW2" s="167"/>
      <c r="AX2" s="116" t="s">
        <v>203</v>
      </c>
      <c r="AY2" s="116" t="str">
        <f>AM2</f>
        <v>délka</v>
      </c>
      <c r="AZ2" s="116" t="str">
        <f>AX1</f>
        <v>DiS.</v>
      </c>
      <c r="BA2" s="116"/>
      <c r="BB2" s="116" t="str">
        <f>AY2</f>
        <v>délka</v>
      </c>
      <c r="BC2" s="116"/>
      <c r="BD2" s="116">
        <v>99</v>
      </c>
      <c r="BE2" s="116" t="s">
        <v>192</v>
      </c>
      <c r="BG2" s="116" t="str">
        <f>AK2</f>
        <v>funkce</v>
      </c>
      <c r="BH2" s="116" t="str">
        <f>AL2</f>
        <v>jméno</v>
      </c>
      <c r="BI2" s="116" t="s">
        <v>178</v>
      </c>
      <c r="BJ2" s="116"/>
      <c r="BK2" s="149"/>
      <c r="BL2" s="109" t="str">
        <f>BI2</f>
        <v>délka</v>
      </c>
      <c r="BM2" s="109" t="s">
        <v>193</v>
      </c>
      <c r="BP2" s="116" t="s">
        <v>22</v>
      </c>
      <c r="BQ2" s="116" t="s">
        <v>196</v>
      </c>
      <c r="BR2" s="116" t="s">
        <v>189</v>
      </c>
      <c r="BS2" s="116" t="s">
        <v>181</v>
      </c>
      <c r="BT2" s="116" t="s">
        <v>200</v>
      </c>
      <c r="BU2" s="116" t="s">
        <v>190</v>
      </c>
      <c r="BX2" s="109" t="str">
        <f>[1]Soutěž!$A$9</f>
        <v>Adresa:</v>
      </c>
      <c r="BY2" s="109" t="str">
        <f>[1]Soutěž!$B$5</f>
        <v>Hradec Králové</v>
      </c>
      <c r="BZ2" s="138" t="str">
        <f>Výplata!D5</f>
        <v>pouze ošatné</v>
      </c>
    </row>
    <row r="3" spans="1:78" s="112" customFormat="1" x14ac:dyDescent="0.25">
      <c r="A3" s="117">
        <v>1</v>
      </c>
      <c r="B3" s="150" t="s">
        <v>42</v>
      </c>
      <c r="C3" s="111">
        <v>114287071</v>
      </c>
      <c r="D3" s="110" t="s">
        <v>137</v>
      </c>
      <c r="E3" s="110" t="s">
        <v>209</v>
      </c>
      <c r="F3" s="111">
        <v>2</v>
      </c>
      <c r="G3" s="110">
        <v>732412390</v>
      </c>
      <c r="I3" s="117">
        <f>IF(B3="","",(IF((MID(B3,J3-3,4))=$I$1,1,IF((MID(B3,J3-3,4))=$J$1,2,IF((MID(B3,J3-3,4))=$K$1,3,0)))))</f>
        <v>0</v>
      </c>
      <c r="J3" s="117">
        <f>IF(B3="","",(VALUE(LEN(B3))))</f>
        <v>9</v>
      </c>
      <c r="K3" s="119" t="str">
        <f>IF(B3="","",(IF(I3=0,(MID(B3,1,J3)),(MID(B3,1,J3-4)))))</f>
        <v>Bača Leoš</v>
      </c>
      <c r="L3" s="117">
        <f>IF(B3="","",(LEN(K3)))</f>
        <v>9</v>
      </c>
      <c r="M3" s="117">
        <f>IF((MID(K3,1,1))=" ",1,IF((MID(K3,2,1))=" ",2,IF((MID(K3,3,1))=" ",3,IF((MID(K3,4,1))=" ",4,IF((MID(K3,5,1))=" ",5,IF((MID(K3,6,1))=" ",6,IF((MID(K3,7,1))=" ",7,IF((MID(K3,8,1))=" ",8,0))))))))</f>
        <v>5</v>
      </c>
      <c r="N3" s="117">
        <f>IF((MID(K3,9,1))=" ",9,IF((MID(K3,10,1))=" ",10,IF((MID(K3,11,1))=" ",11,IF((MID(K3,12,1))=" ",12,IF((MID(K3,13,1))=" ",13,IF((MID(K3,14,1))=" ",14,IF((MID(K3,15,1))=" ",15,IF((MID(K3,16,1))=" ",16,0))))))))</f>
        <v>0</v>
      </c>
      <c r="O3" s="117">
        <f>IF((MID(K3,17,1))=" ",17,IF((MID(K3,18,1))=" ",18,IF((MID(K3,19,1))=" ",19,IF((MID(K3,20,1))=" ",20,IF((MID(K3,21,1))=" ",21,IF((MID(K3,22,1))=" ",22,IF((MID(K3,23,1))=" ",23,IF((MID(K3,24,1))=" ",24,0))))))))</f>
        <v>0</v>
      </c>
      <c r="P3" s="117">
        <f>IF(K3="",0,(SEARCH(" ",K3)))</f>
        <v>5</v>
      </c>
      <c r="Q3" s="117"/>
      <c r="R3" s="119" t="str">
        <f>IF(B3="","",(MID(K3,1,P3-1)))</f>
        <v>Bača</v>
      </c>
      <c r="S3" s="119" t="str">
        <f>IF(B3="","",(IF(I3=0,(MID(K3,P3+1,J3-P3)),(MID(K3,P3+1,J3-P3-1)))))</f>
        <v>Leoš</v>
      </c>
      <c r="T3" s="117" t="str">
        <f>IF(B3="","",(IF(I3=1,$I$1,IF(I3=2,$J$1,IF(I3=3,$K$1,"")))))</f>
        <v/>
      </c>
      <c r="U3" s="94">
        <f>LEN(S3)</f>
        <v>4</v>
      </c>
      <c r="V3" s="94">
        <f>IF(T3="",U3,U3-1)</f>
        <v>4</v>
      </c>
      <c r="W3" s="95" t="str">
        <f>MID(S3,1,V3)</f>
        <v>Leoš</v>
      </c>
      <c r="X3" s="94"/>
      <c r="Y3" s="117">
        <f>LEN(D3)</f>
        <v>12</v>
      </c>
      <c r="Z3" s="117">
        <f>IF((MID(D3,1,1))=",",1,IF((MID(D3,2,1))=",",2,IF((MID(D3,3,1))=",",3,IF((MID(D3,4,1))=",",4,IF((MID(D3,5,1))=",",5,IF((MID(D3,6,1))=",",6,IF((MID(D3,7,1))=",",7,IF((MID(D3,8,1))=",",8,0))))))))+IF((MID(D3,9,1))=",",9,IF((MID(D3,10,1))=",",10,IF((MID(D3,11,1))=",",11,IF((MID(D3,12,1))=",",12,IF((MID(D3,13,1))=",",13,IF((MID(D3,14,1))=",",14,IF((MID(D3,15,1))=",",15,IF((MID(D3,16,1))=",",16,0))))))))+IF((MID(D3,17,1))=",",17,IF((MID(D3,18,1))=",",18,IF((MID(D3,19,1))=",",19,IF((MID(D3,20,1))=",",20,IF((MID(D3,21,1))=",",21,IF((MID(D3,22,1))=",",22,IF((MID(D3,23,1))=",",23,IF((MID(D3,24,1))=",",24,0))))))))</f>
        <v>11</v>
      </c>
      <c r="AA3" s="112" t="str">
        <f>IF(B3="","",(MID(D3,1,Z3-1)))</f>
        <v>Nový Jičín</v>
      </c>
      <c r="AC3" s="125">
        <v>1</v>
      </c>
      <c r="AD3" s="126" t="str">
        <f>IF(I3=3,(CONCATENATE(W3," ",R3," ",T3)),(IF(I3=0,(CONCATENATE(W3," ",R3)),(CONCATENATE(T3," ",W3," ",R3)))))</f>
        <v>Leoš Bača</v>
      </c>
      <c r="AE3" s="126" t="str">
        <f>(CONCATENATE(W3," ",R3))</f>
        <v>Leoš Bača</v>
      </c>
      <c r="AF3" s="126" t="str">
        <f>AA3</f>
        <v>Nový Jičín</v>
      </c>
      <c r="AG3" s="127">
        <f>IF((C3)="","",C3)</f>
        <v>114287071</v>
      </c>
      <c r="AH3" s="128" t="str">
        <f>IF((E3)="","",E3)</f>
        <v>8T1 7232</v>
      </c>
      <c r="AJ3" s="117">
        <v>1</v>
      </c>
      <c r="AK3" s="112" t="str">
        <f>[1]Soutěž!$A$39</f>
        <v>Hlavní rozhodčí:</v>
      </c>
      <c r="AL3" s="112" t="str">
        <f>IF(([1]Soutěž!$B$39)="","",([1]Soutěž!$B$39))</f>
        <v>Mgr. Václav Scheiner</v>
      </c>
      <c r="AM3" s="117">
        <f>LEN(AL3)</f>
        <v>20</v>
      </c>
      <c r="AN3" s="117">
        <f>IF((MID(AL3,1,1))=" ",1,IF((MID(AL3,2,1))=" ",2,IF((MID(AL3,3,1))=" ",3,IF((MID(AL3,4,1))=" ",4,IF((MID(AL3,5,1))=" ",5,IF((MID(AL3,6,1))=" ",6,IF((MID(AL3,7,1))=" ",7,IF((MID(AL3,8,1))=" ",8,0))))))))</f>
        <v>5</v>
      </c>
      <c r="AO3" s="117">
        <f>IF((MID(AL3,9,1))=" ",9,IF((MID(AL3,10,1))=" ",10,IF((MID(AL3,11,1))=" ",11,IF((MID(AL3,12,1))=" ",12,IF((MID(AL3,13,1))=" ",13,IF((MID(AL3,14,1))=" ",14,IF((MID(AL3,15,1))=" ",15,IF((MID(AL3,16,1))=" ",16,0))))))))</f>
        <v>12</v>
      </c>
      <c r="AP3" s="117">
        <f>IF((MID(AL3,17,1))=" ",17,IF((MID(AL3,18,1))=" ",18,IF((MID(AL3,19,1))=" ",19,IF((MID(AL3,20,1))=" ",20,IF((MID(AL3,21,1))=" ",21,IF((MID(AL3,22,1))=" ",22,IF((MID(AL3,23,1))=" ",23,IF((MID(AL3,24,1))=" ",24,0))))))))</f>
        <v>0</v>
      </c>
      <c r="AQ3" s="117">
        <f>IF(AN3=0,IF(AO3=0,AP3,AO3),AN3)</f>
        <v>5</v>
      </c>
      <c r="AR3" s="119" t="str">
        <f>MID(AL3,AQ3+1,AM3-AQ3)</f>
        <v>Václav Scheiner</v>
      </c>
      <c r="AS3" s="117">
        <f>LEN(AR3)</f>
        <v>15</v>
      </c>
      <c r="AT3" s="117">
        <f>IF((MID(AR3,1,1))=" ",1,IF((MID(AR3,2,1))=" ",2,IF((MID(AR3,3,1))=" ",3,IF((MID(AR3,4,1))=" ",4,IF((MID(AR3,5,1))=" ",5,IF((MID(AR3,6,1))=" ",6,IF((MID(AR3,7,1))=" ",7,IF((MID(AR3,8,1))=" ",8,0))))))))</f>
        <v>7</v>
      </c>
      <c r="AU3" s="117">
        <f>IF((MID(AR3,9,1))=" ",9,IF((MID(AR3,10,1))=" ",10,IF((MID(AR3,11,1))=" ",11,IF((MID(AR3,12,1))=" ",12,IF((MID(AR3,13,1))=" ",13,IF((MID(AR3,14,1))=" ",14,IF((MID(AR3,15,1))=" ",15,IF((MID(AR3,16,1))=" ",16,0))))))))</f>
        <v>0</v>
      </c>
      <c r="AV3" s="117">
        <f>IF((MID(AR3,17,1))=" ",17,IF((MID(AR3,18,1))=" ",18,IF((MID(AR3,19,1))=" ",19,IF((MID(AR3,20,1))=" ",20,IF((MID(AR3,21,1))=" ",21,IF((MID(AR3,22,1))=" ",22,IF((MID(AR3,23,1))=" ",23,IF((MID(AR3,24,1))=" ",24,0))))))))</f>
        <v>0</v>
      </c>
      <c r="AW3" s="117">
        <f>IF(AT3=0,IF(AU3=0,AV3,AU3),AT3)</f>
        <v>7</v>
      </c>
      <c r="AX3" s="119" t="str">
        <f>MID(AR3,AW3+1,AS3-AW3)</f>
        <v>Scheiner</v>
      </c>
      <c r="AY3" s="117">
        <f>LEN(AX3)</f>
        <v>8</v>
      </c>
      <c r="AZ3" s="117">
        <f>IF(AX3=$AZ$2,1,0)</f>
        <v>0</v>
      </c>
      <c r="BA3" s="119" t="str">
        <f>IF(AZ3=0,(IF(AL3="","",(MID(AL3,6,AM3-4)))),(IF(AL3="","",(MID(AL3,1,AM3-5)))))</f>
        <v>Václav Scheiner</v>
      </c>
      <c r="BB3" s="117">
        <f>LEN(BA3)</f>
        <v>15</v>
      </c>
      <c r="BD3" s="117">
        <f>IF(AL3="",$BD$2,AJ3)</f>
        <v>1</v>
      </c>
      <c r="BE3" s="117">
        <f>SMALL($BD$3:$BD$22,AJ3)</f>
        <v>1</v>
      </c>
      <c r="BG3" s="112" t="str">
        <f>IF(BE3=$BD$2,"",IF((INDEX($AK$3:$AK$22,BE3))="","",(INDEX($AK$3:$AK$22,BE3))))</f>
        <v>Hlavní rozhodčí:</v>
      </c>
      <c r="BH3" s="112" t="str">
        <f>IF(BE3=$BD$2,"",(INDEX($AL$3:$AL$22,BE3)))</f>
        <v>Mgr. Václav Scheiner</v>
      </c>
      <c r="BI3" s="117">
        <f>LEN(BH3)</f>
        <v>20</v>
      </c>
      <c r="BJ3" s="112" t="str">
        <f>IF((MID(BH3,1,4))=$I$1,(MID(BH3,6,BI3-4)),IF((MID(BH3,1,4))=$J$1,(MID(BH3,6,BI3-4)),IF((MID(BH3,1,4))=$K$1,(MID(BH3,6,BI3-4)),(MID(BH3,1,BI3)))))</f>
        <v>Václav Scheiner</v>
      </c>
      <c r="BK3" s="112" t="str">
        <f>IF(BJ3="","",(IF((MID(BH3,1,4))=$BI$1,(MID(BH3,6,BI3-4)),IF((MID(BH3,1,4))=$BJ$1,(MID(BH3,6,BI3-4)),IF((MID(BH3,BI3-3,4))=$BK$1,(MID(BH3,1,BI3-5)),(MID(BH3,1,BI3)))))))</f>
        <v>Václav Scheiner</v>
      </c>
      <c r="BL3" s="117">
        <f>LEN(BJ3)</f>
        <v>15</v>
      </c>
      <c r="BM3" s="117">
        <f>IF(BG3=$BO$1,98,(IF(BG3=$BM$1,98,(IF(BL3=0,99,(MATCH(BK3,$AE$3:$AE$102,0)))))))</f>
        <v>39</v>
      </c>
      <c r="BN3" s="117">
        <f>IF((ISNUMBER(BM3)),1,0)</f>
        <v>1</v>
      </c>
      <c r="BP3" s="112" t="str">
        <f t="shared" ref="BP3:BP19" si="1">BG3</f>
        <v>Hlavní rozhodčí:</v>
      </c>
      <c r="BQ3" s="112" t="str">
        <f>IF(BN3=1,(IF(BM3=98,BJ3,(IF(BM3=99,"",(INDEX($AD$3:$AD$102,BM3)))))),BJ3)</f>
        <v>Mgr. Václav Scheiner</v>
      </c>
      <c r="BR3" s="117">
        <f>IF(BN3=0,"",(IF(BM3=98,"",(IF(BM3=99,"",(INDEX($AG$3:$AG$102,BM3)))))))</f>
        <v>113075831</v>
      </c>
      <c r="BS3" s="112" t="str">
        <f>IF(BN3=0,"",(IF(BM3=98,"",(IF(BM3=99,"",(INDEX($AF$3:$AF$102,BM3)))))))</f>
        <v>Mnichovice</v>
      </c>
      <c r="BT3" s="112" t="str">
        <f>IF(BN3=0,"",(IF(BM3=98,"",(IF(BZ3="",(IF(BM3=99,"",IF(BY3=0,"AUV","MHD"))),"xxx")))))</f>
        <v>AUV</v>
      </c>
      <c r="BU3" s="112" t="str">
        <f>IF(BN3=0,"",(IF(BM3=98,"",(IF(BZ3="",(IF(BM3=99,"",IF(BY3=1,"xxx",(INDEX($AH$3:$AH$102,BM3))))),"xxx")))))</f>
        <v>2SJ 7535</v>
      </c>
      <c r="BY3" s="117">
        <f>IF(BS3=$BY$2,1,0)</f>
        <v>0</v>
      </c>
      <c r="BZ3" s="117" t="str">
        <f>IF(Výplata!D6="","",Výplata!D6)</f>
        <v/>
      </c>
    </row>
    <row r="4" spans="1:78" s="112" customFormat="1" x14ac:dyDescent="0.25">
      <c r="A4" s="117">
        <f>A3+1</f>
        <v>2</v>
      </c>
      <c r="B4" s="150" t="s">
        <v>43</v>
      </c>
      <c r="C4" s="111">
        <v>103285608</v>
      </c>
      <c r="D4" s="110" t="s">
        <v>138</v>
      </c>
      <c r="E4" s="110" t="s">
        <v>44</v>
      </c>
      <c r="F4" s="111">
        <v>1</v>
      </c>
      <c r="G4" s="110">
        <v>723181005</v>
      </c>
      <c r="I4" s="117">
        <f t="shared" ref="I4:I67" si="2">IF(B4="","",(IF((MID(B4,J4-3,4))=$I$1,1,IF((MID(B4,J4-3,4))=$J$1,2,IF((MID(B4,J4-3,4))=$K$1,3,0)))))</f>
        <v>0</v>
      </c>
      <c r="J4" s="117">
        <f t="shared" ref="J4:J67" si="3">IF(B4="","",(VALUE(LEN(B4))))</f>
        <v>11</v>
      </c>
      <c r="K4" s="119" t="str">
        <f t="shared" ref="K4:K67" si="4">IF(B4="","",(IF(I4=0,(MID(B4,1,J4)),(MID(B4,1,J4-4)))))</f>
        <v>Benda Milan</v>
      </c>
      <c r="L4" s="117">
        <f t="shared" ref="L4:L67" si="5">IF(B4="","",(LEN(K4)))</f>
        <v>11</v>
      </c>
      <c r="M4" s="117">
        <f t="shared" ref="M4:M58" si="6">IF((MID(K4,1,1))=" ",1,IF((MID(K4,2,1))=" ",2,IF((MID(K4,3,1))=" ",3,IF((MID(K4,4,1))=" ",4,IF((MID(K4,5,1))=" ",5,IF((MID(K4,6,1))=" ",6,IF((MID(K4,7,1))=" ",7,IF((MID(K4,8,1))=" ",8,0))))))))</f>
        <v>6</v>
      </c>
      <c r="N4" s="117">
        <f t="shared" ref="N4:N58" si="7">IF((MID(K4,9,1))=" ",9,IF((MID(K4,10,1))=" ",10,IF((MID(K4,11,1))=" ",11,IF((MID(K4,12,1))=" ",12,IF((MID(K4,13,1))=" ",13,IF((MID(K4,14,1))=" ",14,IF((MID(K4,15,1))=" ",15,IF((MID(K4,16,1))=" ",16,0))))))))</f>
        <v>0</v>
      </c>
      <c r="O4" s="117">
        <f t="shared" ref="O4:O58" si="8">IF((MID(K4,17,1))=" ",17,IF((MID(K4,18,1))=" ",18,IF((MID(K4,19,1))=" ",19,IF((MID(K4,20,1))=" ",20,IF((MID(K4,21,1))=" ",21,IF((MID(K4,22,1))=" ",22,IF((MID(K4,23,1))=" ",23,IF((MID(K4,24,1))=" ",24,0))))))))</f>
        <v>0</v>
      </c>
      <c r="P4" s="117">
        <f t="shared" ref="P4:P67" si="9">IF(K4="",0,(SEARCH(" ",K4)))</f>
        <v>6</v>
      </c>
      <c r="Q4" s="117"/>
      <c r="R4" s="119" t="str">
        <f t="shared" ref="R4:R67" si="10">IF(B4="","",(MID(K4,1,P4-1)))</f>
        <v>Benda</v>
      </c>
      <c r="S4" s="119" t="str">
        <f t="shared" ref="S4:S67" si="11">IF(B4="","",(IF(I4=0,(MID(K4,P4+1,J4-P4)),(MID(K4,P4+1,J4-P4-1)))))</f>
        <v>Milan</v>
      </c>
      <c r="T4" s="117" t="str">
        <f t="shared" ref="T4:T67" si="12">IF(B4="","",(IF(I4=1,$I$1,IF(I4=2,$J$1,IF(I4=3,$K$1,"")))))</f>
        <v/>
      </c>
      <c r="U4" s="94">
        <f t="shared" ref="U4:U55" si="13">LEN(S4)</f>
        <v>5</v>
      </c>
      <c r="V4" s="94">
        <f t="shared" ref="V4:V55" si="14">IF(T4="",U4,U4-1)</f>
        <v>5</v>
      </c>
      <c r="W4" s="95" t="str">
        <f t="shared" ref="W4:W55" si="15">MID(S4,1,V4)</f>
        <v>Milan</v>
      </c>
      <c r="X4" s="94"/>
      <c r="Y4" s="117">
        <f t="shared" ref="Y4:Y55" si="16">LEN(D4)</f>
        <v>22</v>
      </c>
      <c r="Z4" s="117">
        <f t="shared" ref="Z4:Z55" si="17">IF((MID(D4,1,1))=",",1,IF((MID(D4,2,1))=",",2,IF((MID(D4,3,1))=",",3,IF((MID(D4,4,1))=",",4,IF((MID(D4,5,1))=",",5,IF((MID(D4,6,1))=",",6,IF((MID(D4,7,1))=",",7,IF((MID(D4,8,1))=",",8,0))))))))+IF((MID(D4,9,1))=",",9,IF((MID(D4,10,1))=",",10,IF((MID(D4,11,1))=",",11,IF((MID(D4,12,1))=",",12,IF((MID(D4,13,1))=",",13,IF((MID(D4,14,1))=",",14,IF((MID(D4,15,1))=",",15,IF((MID(D4,16,1))=",",16,0))))))))+IF((MID(D4,17,1))=",",17,IF((MID(D4,18,1))=",",18,IF((MID(D4,19,1))=",",19,IF((MID(D4,20,1))=",",20,IF((MID(D4,21,1))=",",21,IF((MID(D4,22,1))=",",22,IF((MID(D4,23,1))=",",23,IF((MID(D4,24,1))=",",24,0))))))))</f>
        <v>10</v>
      </c>
      <c r="AA4" s="112" t="str">
        <f t="shared" ref="AA4:AA67" si="18">IF(B4="","",(MID(D4,1,Z4-1)))</f>
        <v>Prostějov</v>
      </c>
      <c r="AC4" s="129">
        <v>2</v>
      </c>
      <c r="AD4" s="130" t="str">
        <f t="shared" ref="AD4:AD55" si="19">IF(I4=3,(CONCATENATE(W4," ",R4," ",T4)),(IF(I4=0,(CONCATENATE(W4," ",R4)),(CONCATENATE(T4," ",W4," ",R4)))))</f>
        <v>Milan Benda</v>
      </c>
      <c r="AE4" s="130" t="str">
        <f t="shared" ref="AE4:AE6" si="20">(CONCATENATE(W4," ",R4))</f>
        <v>Milan Benda</v>
      </c>
      <c r="AF4" s="130" t="str">
        <f t="shared" ref="AF4:AF55" si="21">AA4</f>
        <v>Prostějov</v>
      </c>
      <c r="AG4" s="131">
        <f t="shared" ref="AG4:AG55" si="22">IF((C4)="","",C4)</f>
        <v>103285608</v>
      </c>
      <c r="AH4" s="132" t="str">
        <f t="shared" ref="AH4:AH55" si="23">IF((E4)="","",E4)</f>
        <v>2M9 6379</v>
      </c>
      <c r="AJ4" s="117">
        <f>AJ3+1</f>
        <v>2</v>
      </c>
      <c r="AK4" s="112" t="str">
        <f>[1]Soutěž!$A$41</f>
        <v>Tabulky:</v>
      </c>
      <c r="AL4" s="112" t="str">
        <f>IF(([1]Soutěž!$B41)="","",([1]Soutěž!$B41))</f>
        <v>ing. Oldřich Holuša</v>
      </c>
      <c r="AM4" s="117">
        <f t="shared" ref="AM4:AM22" si="24">LEN(AL4)</f>
        <v>19</v>
      </c>
      <c r="AN4" s="117">
        <f t="shared" ref="AN4:AN19" si="25">IF((MID(AL4,1,1))=" ",1,IF((MID(AL4,2,1))=" ",2,IF((MID(AL4,3,1))=" ",3,IF((MID(AL4,4,1))=" ",4,IF((MID(AL4,5,1))=" ",5,IF((MID(AL4,6,1))=" ",6,IF((MID(AL4,7,1))=" ",7,IF((MID(AL4,8,1))=" ",8,0))))))))</f>
        <v>5</v>
      </c>
      <c r="AO4" s="117">
        <f t="shared" ref="AO4:AO19" si="26">IF((MID(AL4,9,1))=" ",9,IF((MID(AL4,10,1))=" ",10,IF((MID(AL4,11,1))=" ",11,IF((MID(AL4,12,1))=" ",12,IF((MID(AL4,13,1))=" ",13,IF((MID(AL4,14,1))=" ",14,IF((MID(AL4,15,1))=" ",15,IF((MID(AL4,16,1))=" ",16,0))))))))</f>
        <v>13</v>
      </c>
      <c r="AP4" s="117">
        <f t="shared" ref="AP4:AP19" si="27">IF((MID(AL4,17,1))=" ",17,IF((MID(AL4,18,1))=" ",18,IF((MID(AL4,19,1))=" ",19,IF((MID(AL4,20,1))=" ",20,IF((MID(AL4,21,1))=" ",21,IF((MID(AL4,22,1))=" ",22,IF((MID(AL4,23,1))=" ",23,IF((MID(AL4,24,1))=" ",24,0))))))))</f>
        <v>0</v>
      </c>
      <c r="AQ4" s="117">
        <f t="shared" ref="AQ4:AQ19" si="28">IF(AN4=0,IF(AO4=0,AP4,AO4),AN4)</f>
        <v>5</v>
      </c>
      <c r="AR4" s="119" t="str">
        <f t="shared" ref="AR4:AR19" si="29">MID(AL4,AQ4+1,AM4-AQ4)</f>
        <v>Oldřich Holuša</v>
      </c>
      <c r="AS4" s="117">
        <f t="shared" ref="AS4:AS21" si="30">LEN(AR4)</f>
        <v>14</v>
      </c>
      <c r="AT4" s="117">
        <f t="shared" ref="AT4:AT19" si="31">IF((MID(AR4,1,1))=" ",1,IF((MID(AR4,2,1))=" ",2,IF((MID(AR4,3,1))=" ",3,IF((MID(AR4,4,1))=" ",4,IF((MID(AR4,5,1))=" ",5,IF((MID(AR4,6,1))=" ",6,IF((MID(AR4,7,1))=" ",7,IF((MID(AR4,8,1))=" ",8,0))))))))</f>
        <v>8</v>
      </c>
      <c r="AU4" s="117">
        <f t="shared" ref="AU4:AU19" si="32">IF((MID(AR4,9,1))=" ",9,IF((MID(AR4,10,1))=" ",10,IF((MID(AR4,11,1))=" ",11,IF((MID(AR4,12,1))=" ",12,IF((MID(AR4,13,1))=" ",13,IF((MID(AR4,14,1))=" ",14,IF((MID(AR4,15,1))=" ",15,IF((MID(AR4,16,1))=" ",16,0))))))))</f>
        <v>0</v>
      </c>
      <c r="AV4" s="117">
        <f t="shared" ref="AV4:AV19" si="33">IF((MID(AR4,17,1))=" ",17,IF((MID(AR4,18,1))=" ",18,IF((MID(AR4,19,1))=" ",19,IF((MID(AR4,20,1))=" ",20,IF((MID(AR4,21,1))=" ",21,IF((MID(AR4,22,1))=" ",22,IF((MID(AR4,23,1))=" ",23,IF((MID(AR4,24,1))=" ",24,0))))))))</f>
        <v>0</v>
      </c>
      <c r="AW4" s="117">
        <f t="shared" ref="AW4:AW19" si="34">IF(AT4=0,IF(AU4=0,AV4,AU4),AT4)</f>
        <v>8</v>
      </c>
      <c r="AX4" s="119" t="str">
        <f t="shared" ref="AX4:AX19" si="35">MID(AR4,AW4+1,AS4-AW4)</f>
        <v>Holuša</v>
      </c>
      <c r="AY4" s="117">
        <f t="shared" ref="AY4:AY21" si="36">LEN(AX4)</f>
        <v>6</v>
      </c>
      <c r="AZ4" s="117">
        <f t="shared" ref="AZ4:AZ19" si="37">IF(AX4=$AZ$2,1,0)</f>
        <v>0</v>
      </c>
      <c r="BA4" s="119" t="str">
        <f t="shared" ref="BA4:BA18" si="38">IF(AZ4=0,(IF(AL4="","",(MID(AL4,6,AM4-4)))),(IF(AL4="","",(MID(AL4,1,AM4-5)))))</f>
        <v>Oldřich Holuša</v>
      </c>
      <c r="BB4" s="117">
        <f t="shared" ref="BB4:BB22" si="39">LEN(BA4)</f>
        <v>14</v>
      </c>
      <c r="BD4" s="117">
        <f t="shared" ref="BD4:BD19" si="40">IF(AL4="",$BD$2,AJ4)</f>
        <v>2</v>
      </c>
      <c r="BE4" s="117">
        <f t="shared" ref="BE4:BE22" si="41">SMALL($BD$3:$BD$22,AJ4)</f>
        <v>2</v>
      </c>
      <c r="BG4" s="112" t="str">
        <f t="shared" ref="BG4:BG17" si="42">IF(BE4=$BD$2,"",IF((INDEX($AK$3:$AK$22,BE4))="","",(INDEX($AK$3:$AK$22,BE4))))</f>
        <v>Tabulky:</v>
      </c>
      <c r="BH4" s="112" t="str">
        <f t="shared" ref="BH4:BH17" si="43">IF(BE4=$BD$2,"",(INDEX($AL$3:$AL$22,BE4)))</f>
        <v>ing. Oldřich Holuša</v>
      </c>
      <c r="BI4" s="117">
        <f t="shared" ref="BI4:BI17" si="44">LEN(BH4)</f>
        <v>19</v>
      </c>
      <c r="BJ4" s="112" t="str">
        <f t="shared" ref="BJ4:BJ20" si="45">IF((MID(BH4,1,4))=$I$1,(MID(BH4,6,BI4-4)),IF((MID(BH4,1,4))=$J$1,(MID(BH4,6,BI4-4)),IF((MID(BH4,1,4))=$K$1,(MID(BH4,6,BI4-4)),(MID(BH4,1,BI4)))))</f>
        <v>Oldřich Holuša</v>
      </c>
      <c r="BK4" s="112" t="str">
        <f t="shared" ref="BK4:BK17" si="46">IF(BJ4="","",(IF((MID(BH4,1,4))=$BI$1,(MID(BH4,6,BI4-4)),IF((MID(BH4,1,4))=$BJ$1,(MID(BH4,6,BI4-4)),IF((MID(BH4,BI4-3,4))=$BK$1,(MID(BH4,1,BI4-5)),(MID(BH4,1,BI4)))))))</f>
        <v>Oldřich Holuša</v>
      </c>
      <c r="BL4" s="117">
        <f t="shared" ref="BL4:BL20" si="47">LEN(BJ4)</f>
        <v>14</v>
      </c>
      <c r="BM4" s="117">
        <f t="shared" ref="BM4:BM15" si="48">IF(BG4=$BO$1,98,(IF(BG4=$BM$1,98,(IF(BL4=0,99,(MATCH(BK4,$AE$3:$AE$102,0)))))))</f>
        <v>15</v>
      </c>
      <c r="BN4" s="117">
        <f t="shared" ref="BN4:BN67" si="49">IF((ISNUMBER(BM4)),1,0)</f>
        <v>1</v>
      </c>
      <c r="BP4" s="112" t="str">
        <f t="shared" si="1"/>
        <v>Tabulky:</v>
      </c>
      <c r="BQ4" s="112" t="str">
        <f t="shared" ref="BQ4:BQ27" si="50">IF(BN4=1,(IF(BM4=98,BJ4,(IF(BM4=99,"",(INDEX($AD$3:$AD$102,BM4)))))),BJ4)</f>
        <v>ing. Oldřich Holuša</v>
      </c>
      <c r="BR4" s="117">
        <f t="shared" ref="BR4:BR27" si="51">IF(BN4=0,"",(IF(BM4=98,"",(IF(BM4=99,"",(INDEX($AG$3:$AG$102,BM4)))))))</f>
        <v>200207425</v>
      </c>
      <c r="BS4" s="112" t="str">
        <f t="shared" ref="BS4:BS28" si="52">IF(BN4=0,"",(IF(BM4=98,"",(IF(BM4=99,"",(INDEX($AF$3:$AF$102,BM4)))))))</f>
        <v>Ostrava</v>
      </c>
      <c r="BT4" s="112" t="str">
        <f t="shared" ref="BT4:BT20" si="53">IF(BN4=0,"",(IF(BM4=98,"",(IF(BZ4="",(IF(BM4=99,"",IF(BY4=0,"AUV","MHD"))),"xxx")))))</f>
        <v>AUV</v>
      </c>
      <c r="BU4" s="112" t="str">
        <f t="shared" ref="BU4:BU27" si="54">IF(BN4=0,"",(IF(BM4=98,"",(IF(BZ4="",(IF(BM4=99,"",IF(BY4=1,"xxx",(INDEX($AH$3:$AH$102,BM4))))),"xxx")))))</f>
        <v>4T8 8124</v>
      </c>
      <c r="BY4" s="117">
        <f t="shared" ref="BY4:BY16" si="55">IF(BS4=$BY$2,1,0)</f>
        <v>0</v>
      </c>
      <c r="BZ4" s="117" t="str">
        <f>IF(Výplata!D7="","",Výplata!D7)</f>
        <v/>
      </c>
    </row>
    <row r="5" spans="1:78" x14ac:dyDescent="0.25">
      <c r="A5" s="117">
        <f t="shared" ref="A5:A68" si="56">A4+1</f>
        <v>3</v>
      </c>
      <c r="B5" s="113" t="s">
        <v>45</v>
      </c>
      <c r="C5" s="21">
        <v>202754710</v>
      </c>
      <c r="D5" s="113" t="s">
        <v>47</v>
      </c>
      <c r="E5" s="113" t="s">
        <v>224</v>
      </c>
      <c r="F5" s="21"/>
      <c r="G5" s="113">
        <v>727900945</v>
      </c>
      <c r="I5" s="117">
        <f t="shared" si="2"/>
        <v>1</v>
      </c>
      <c r="J5" s="117">
        <f t="shared" si="3"/>
        <v>16</v>
      </c>
      <c r="K5" s="119" t="str">
        <f t="shared" si="4"/>
        <v xml:space="preserve">Bílek Libor </v>
      </c>
      <c r="L5" s="117">
        <f t="shared" si="5"/>
        <v>12</v>
      </c>
      <c r="M5" s="117">
        <f t="shared" si="6"/>
        <v>6</v>
      </c>
      <c r="N5" s="117">
        <f t="shared" si="7"/>
        <v>12</v>
      </c>
      <c r="O5" s="117">
        <f t="shared" si="8"/>
        <v>0</v>
      </c>
      <c r="P5" s="117">
        <f t="shared" si="9"/>
        <v>6</v>
      </c>
      <c r="Q5" s="117"/>
      <c r="R5" s="119" t="str">
        <f t="shared" si="10"/>
        <v>Bílek</v>
      </c>
      <c r="S5" s="119" t="str">
        <f t="shared" si="11"/>
        <v xml:space="preserve">Libor </v>
      </c>
      <c r="T5" s="117" t="str">
        <f t="shared" si="12"/>
        <v>ing.</v>
      </c>
      <c r="U5" s="94">
        <f t="shared" si="13"/>
        <v>6</v>
      </c>
      <c r="V5" s="94">
        <f t="shared" si="14"/>
        <v>5</v>
      </c>
      <c r="W5" s="95" t="str">
        <f t="shared" si="15"/>
        <v>Libor</v>
      </c>
      <c r="Y5" s="117">
        <f t="shared" si="16"/>
        <v>27</v>
      </c>
      <c r="Z5" s="117">
        <f t="shared" si="17"/>
        <v>8</v>
      </c>
      <c r="AA5" s="112" t="str">
        <f t="shared" si="18"/>
        <v>Jihlava</v>
      </c>
      <c r="AB5" s="112"/>
      <c r="AC5" s="129">
        <v>3</v>
      </c>
      <c r="AD5" s="130" t="str">
        <f t="shared" si="19"/>
        <v>ing. Libor Bílek</v>
      </c>
      <c r="AE5" s="130" t="str">
        <f t="shared" si="20"/>
        <v>Libor Bílek</v>
      </c>
      <c r="AF5" s="130" t="str">
        <f t="shared" si="21"/>
        <v>Jihlava</v>
      </c>
      <c r="AG5" s="131">
        <f t="shared" si="22"/>
        <v>202754710</v>
      </c>
      <c r="AH5" s="132" t="str">
        <f t="shared" si="23"/>
        <v>4J0 9631</v>
      </c>
      <c r="AJ5" s="117">
        <f t="shared" ref="AJ5:AJ22" si="57">AJ4+1</f>
        <v>3</v>
      </c>
      <c r="AL5" s="112" t="str">
        <f>IF(([1]Soutěž!$B42)="","",([1]Soutěž!$B42))</f>
        <v>ing. Libor Bílek</v>
      </c>
      <c r="AM5" s="117">
        <f t="shared" si="24"/>
        <v>16</v>
      </c>
      <c r="AN5" s="117">
        <f t="shared" si="25"/>
        <v>5</v>
      </c>
      <c r="AO5" s="117">
        <f t="shared" si="26"/>
        <v>11</v>
      </c>
      <c r="AP5" s="117">
        <f t="shared" si="27"/>
        <v>0</v>
      </c>
      <c r="AQ5" s="117">
        <f t="shared" si="28"/>
        <v>5</v>
      </c>
      <c r="AR5" s="119" t="str">
        <f>MID(AL5,AQ5+1,AM5-AQ5)</f>
        <v>Libor Bílek</v>
      </c>
      <c r="AS5" s="117">
        <f t="shared" si="30"/>
        <v>11</v>
      </c>
      <c r="AT5" s="117">
        <f t="shared" si="31"/>
        <v>6</v>
      </c>
      <c r="AU5" s="117">
        <f t="shared" si="32"/>
        <v>0</v>
      </c>
      <c r="AV5" s="117">
        <f t="shared" si="33"/>
        <v>0</v>
      </c>
      <c r="AW5" s="117">
        <f t="shared" si="34"/>
        <v>6</v>
      </c>
      <c r="AX5" s="119" t="str">
        <f t="shared" si="35"/>
        <v>Bílek</v>
      </c>
      <c r="AY5" s="117">
        <f t="shared" si="36"/>
        <v>5</v>
      </c>
      <c r="AZ5" s="117">
        <f t="shared" si="37"/>
        <v>0</v>
      </c>
      <c r="BA5" s="119" t="str">
        <f t="shared" si="38"/>
        <v>Libor Bílek</v>
      </c>
      <c r="BB5" s="117">
        <f t="shared" si="39"/>
        <v>11</v>
      </c>
      <c r="BC5" s="112"/>
      <c r="BD5" s="117">
        <f t="shared" si="40"/>
        <v>3</v>
      </c>
      <c r="BE5" s="117">
        <f t="shared" si="41"/>
        <v>3</v>
      </c>
      <c r="BG5" s="112" t="str">
        <f t="shared" si="42"/>
        <v/>
      </c>
      <c r="BH5" s="112" t="str">
        <f t="shared" si="43"/>
        <v>ing. Libor Bílek</v>
      </c>
      <c r="BI5" s="117">
        <f t="shared" si="44"/>
        <v>16</v>
      </c>
      <c r="BJ5" s="112" t="str">
        <f>IF((MID(BH5,1,4))=$I$1,(MID(BH5,6,BI5-4)),IF((MID(BH5,1,4))=$J$1,(MID(BH5,6,BI5-4)),IF((MID(BH5,1,4))=$K$1,(MID(BH5,6,BI5-4)),(MID(BH5,1,BI5)))))</f>
        <v>Libor Bílek</v>
      </c>
      <c r="BK5" s="112" t="str">
        <f t="shared" si="46"/>
        <v>Libor Bílek</v>
      </c>
      <c r="BL5" s="117">
        <f t="shared" si="47"/>
        <v>11</v>
      </c>
      <c r="BM5" s="117">
        <f t="shared" si="48"/>
        <v>3</v>
      </c>
      <c r="BN5" s="117">
        <f t="shared" si="49"/>
        <v>1</v>
      </c>
      <c r="BP5" s="112" t="str">
        <f t="shared" si="1"/>
        <v/>
      </c>
      <c r="BQ5" s="112" t="str">
        <f t="shared" si="50"/>
        <v>ing. Libor Bílek</v>
      </c>
      <c r="BR5" s="117">
        <f t="shared" si="51"/>
        <v>202754710</v>
      </c>
      <c r="BS5" s="112" t="str">
        <f t="shared" si="52"/>
        <v>Jihlava</v>
      </c>
      <c r="BT5" s="112" t="str">
        <f t="shared" si="53"/>
        <v>AUV</v>
      </c>
      <c r="BU5" s="112" t="str">
        <f t="shared" si="54"/>
        <v>4J0 9631</v>
      </c>
      <c r="BY5" s="117">
        <f t="shared" si="55"/>
        <v>0</v>
      </c>
      <c r="BZ5" s="117" t="str">
        <f>IF(Výplata!D8="","",Výplata!D8)</f>
        <v/>
      </c>
    </row>
    <row r="6" spans="1:78" x14ac:dyDescent="0.25">
      <c r="A6" s="117">
        <f t="shared" si="56"/>
        <v>4</v>
      </c>
      <c r="B6" s="113" t="s">
        <v>46</v>
      </c>
      <c r="C6" s="21">
        <v>110093251</v>
      </c>
      <c r="D6" s="113" t="s">
        <v>47</v>
      </c>
      <c r="E6" s="113" t="s">
        <v>48</v>
      </c>
      <c r="F6" s="21">
        <v>3</v>
      </c>
      <c r="G6" s="113">
        <v>725321676</v>
      </c>
      <c r="I6" s="117">
        <f t="shared" si="2"/>
        <v>0</v>
      </c>
      <c r="J6" s="117">
        <f t="shared" si="3"/>
        <v>11</v>
      </c>
      <c r="K6" s="119" t="str">
        <f t="shared" si="4"/>
        <v>Bílek Tomáš</v>
      </c>
      <c r="L6" s="117">
        <f t="shared" si="5"/>
        <v>11</v>
      </c>
      <c r="M6" s="117">
        <f t="shared" si="6"/>
        <v>6</v>
      </c>
      <c r="N6" s="117">
        <f t="shared" si="7"/>
        <v>0</v>
      </c>
      <c r="O6" s="117">
        <f t="shared" si="8"/>
        <v>0</v>
      </c>
      <c r="P6" s="117">
        <f t="shared" si="9"/>
        <v>6</v>
      </c>
      <c r="Q6" s="117"/>
      <c r="R6" s="119" t="str">
        <f t="shared" si="10"/>
        <v>Bílek</v>
      </c>
      <c r="S6" s="119" t="str">
        <f t="shared" si="11"/>
        <v>Tomáš</v>
      </c>
      <c r="T6" s="117" t="str">
        <f t="shared" si="12"/>
        <v/>
      </c>
      <c r="U6" s="94">
        <f t="shared" si="13"/>
        <v>5</v>
      </c>
      <c r="V6" s="94">
        <f t="shared" si="14"/>
        <v>5</v>
      </c>
      <c r="W6" s="95" t="str">
        <f t="shared" si="15"/>
        <v>Tomáš</v>
      </c>
      <c r="Y6" s="117">
        <f t="shared" si="16"/>
        <v>27</v>
      </c>
      <c r="Z6" s="117">
        <f t="shared" si="17"/>
        <v>8</v>
      </c>
      <c r="AA6" s="112" t="str">
        <f t="shared" si="18"/>
        <v>Jihlava</v>
      </c>
      <c r="AB6" s="112"/>
      <c r="AC6" s="129">
        <v>4</v>
      </c>
      <c r="AD6" s="130" t="str">
        <f t="shared" si="19"/>
        <v>Tomáš Bílek</v>
      </c>
      <c r="AE6" s="130" t="str">
        <f t="shared" si="20"/>
        <v>Tomáš Bílek</v>
      </c>
      <c r="AF6" s="130" t="str">
        <f t="shared" si="21"/>
        <v>Jihlava</v>
      </c>
      <c r="AG6" s="131">
        <f t="shared" si="22"/>
        <v>110093251</v>
      </c>
      <c r="AH6" s="132" t="str">
        <f t="shared" si="23"/>
        <v>BZC 04-05</v>
      </c>
      <c r="AJ6" s="117">
        <f t="shared" si="57"/>
        <v>4</v>
      </c>
      <c r="AL6" s="112" t="str">
        <f>IF(([1]Soutěž!$B43)="","",([1]Soutěž!$B43))</f>
        <v/>
      </c>
      <c r="AM6" s="117">
        <f t="shared" si="24"/>
        <v>0</v>
      </c>
      <c r="AN6" s="117">
        <f t="shared" si="25"/>
        <v>0</v>
      </c>
      <c r="AO6" s="117">
        <f t="shared" si="26"/>
        <v>0</v>
      </c>
      <c r="AP6" s="117">
        <f t="shared" si="27"/>
        <v>0</v>
      </c>
      <c r="AQ6" s="117">
        <f t="shared" si="28"/>
        <v>0</v>
      </c>
      <c r="AR6" s="119" t="str">
        <f t="shared" si="29"/>
        <v/>
      </c>
      <c r="AS6" s="117">
        <f t="shared" si="30"/>
        <v>0</v>
      </c>
      <c r="AT6" s="117">
        <f t="shared" si="31"/>
        <v>0</v>
      </c>
      <c r="AU6" s="117">
        <f t="shared" si="32"/>
        <v>0</v>
      </c>
      <c r="AV6" s="117">
        <f t="shared" si="33"/>
        <v>0</v>
      </c>
      <c r="AW6" s="117">
        <f t="shared" si="34"/>
        <v>0</v>
      </c>
      <c r="AX6" s="119" t="str">
        <f t="shared" si="35"/>
        <v/>
      </c>
      <c r="AY6" s="117">
        <f t="shared" si="36"/>
        <v>0</v>
      </c>
      <c r="AZ6" s="117">
        <f t="shared" si="37"/>
        <v>0</v>
      </c>
      <c r="BA6" s="119" t="str">
        <f t="shared" si="38"/>
        <v/>
      </c>
      <c r="BB6" s="117">
        <f t="shared" si="39"/>
        <v>0</v>
      </c>
      <c r="BC6" s="112"/>
      <c r="BD6" s="117">
        <f t="shared" si="40"/>
        <v>99</v>
      </c>
      <c r="BE6" s="117">
        <f t="shared" si="41"/>
        <v>6</v>
      </c>
      <c r="BG6" s="112" t="str">
        <f t="shared" si="42"/>
        <v>Před. žíněnek:</v>
      </c>
      <c r="BH6" s="112" t="str">
        <f t="shared" si="43"/>
        <v>Milan Slončík</v>
      </c>
      <c r="BI6" s="117">
        <f t="shared" si="44"/>
        <v>13</v>
      </c>
      <c r="BJ6" s="112" t="str">
        <f t="shared" si="45"/>
        <v>Milan Slončík</v>
      </c>
      <c r="BK6" s="112" t="str">
        <f t="shared" si="46"/>
        <v>Milan Slončík</v>
      </c>
      <c r="BL6" s="117">
        <f t="shared" si="47"/>
        <v>13</v>
      </c>
      <c r="BM6" s="117">
        <f t="shared" si="48"/>
        <v>42</v>
      </c>
      <c r="BN6" s="117">
        <f t="shared" si="49"/>
        <v>1</v>
      </c>
      <c r="BP6" s="112" t="str">
        <f t="shared" si="1"/>
        <v>Před. žíněnek:</v>
      </c>
      <c r="BQ6" s="112" t="str">
        <f t="shared" si="50"/>
        <v>Milan Slončík</v>
      </c>
      <c r="BR6" s="117">
        <f t="shared" si="51"/>
        <v>108767442</v>
      </c>
      <c r="BS6" s="112" t="str">
        <f t="shared" si="52"/>
        <v>Havířov</v>
      </c>
      <c r="BT6" s="112" t="str">
        <f t="shared" si="53"/>
        <v>AUV</v>
      </c>
      <c r="BU6" s="112" t="str">
        <f t="shared" si="54"/>
        <v>4T1 5873</v>
      </c>
      <c r="BY6" s="117">
        <f t="shared" si="55"/>
        <v>0</v>
      </c>
      <c r="BZ6" s="117" t="str">
        <f>IF(Výplata!D9="","",Výplata!D9)</f>
        <v/>
      </c>
    </row>
    <row r="7" spans="1:78" x14ac:dyDescent="0.25">
      <c r="A7" s="117">
        <f t="shared" si="56"/>
        <v>5</v>
      </c>
      <c r="B7" s="114" t="s">
        <v>49</v>
      </c>
      <c r="C7" s="21"/>
      <c r="D7" s="114" t="s">
        <v>139</v>
      </c>
      <c r="E7" s="113"/>
      <c r="F7" s="21">
        <v>2</v>
      </c>
      <c r="G7" s="113">
        <v>596783570</v>
      </c>
      <c r="I7" s="117">
        <f t="shared" si="2"/>
        <v>0</v>
      </c>
      <c r="J7" s="117">
        <f t="shared" si="3"/>
        <v>13</v>
      </c>
      <c r="K7" s="119" t="str">
        <f t="shared" si="4"/>
        <v>Březný Rudolf</v>
      </c>
      <c r="L7" s="117">
        <f t="shared" si="5"/>
        <v>13</v>
      </c>
      <c r="M7" s="117">
        <f t="shared" si="6"/>
        <v>7</v>
      </c>
      <c r="N7" s="117">
        <f t="shared" si="7"/>
        <v>0</v>
      </c>
      <c r="O7" s="117">
        <f t="shared" si="8"/>
        <v>0</v>
      </c>
      <c r="P7" s="117">
        <f t="shared" si="9"/>
        <v>7</v>
      </c>
      <c r="Q7" s="117"/>
      <c r="R7" s="119" t="str">
        <f t="shared" si="10"/>
        <v>Březný</v>
      </c>
      <c r="S7" s="119" t="str">
        <f t="shared" si="11"/>
        <v>Rudolf</v>
      </c>
      <c r="T7" s="117" t="str">
        <f t="shared" si="12"/>
        <v/>
      </c>
      <c r="U7" s="94">
        <f t="shared" si="13"/>
        <v>6</v>
      </c>
      <c r="V7" s="94">
        <f t="shared" si="14"/>
        <v>6</v>
      </c>
      <c r="W7" s="95" t="str">
        <f t="shared" si="15"/>
        <v>Rudolf</v>
      </c>
      <c r="Y7" s="117">
        <f t="shared" si="16"/>
        <v>23</v>
      </c>
      <c r="Z7" s="117">
        <f t="shared" si="17"/>
        <v>8</v>
      </c>
      <c r="AA7" s="112" t="str">
        <f t="shared" si="18"/>
        <v>Ostrava</v>
      </c>
      <c r="AB7" s="112"/>
      <c r="AC7" s="129">
        <v>5</v>
      </c>
      <c r="AD7" s="130" t="str">
        <f t="shared" si="19"/>
        <v>Rudolf Březný</v>
      </c>
      <c r="AE7" s="130" t="str">
        <f t="shared" ref="AE7:AE55" si="58">(CONCATENATE(W7," ",R7))</f>
        <v>Rudolf Březný</v>
      </c>
      <c r="AF7" s="130" t="str">
        <f t="shared" si="21"/>
        <v>Ostrava</v>
      </c>
      <c r="AG7" s="131" t="str">
        <f t="shared" si="22"/>
        <v/>
      </c>
      <c r="AH7" s="132" t="str">
        <f t="shared" si="23"/>
        <v/>
      </c>
      <c r="AJ7" s="117">
        <f t="shared" si="57"/>
        <v>5</v>
      </c>
      <c r="AL7" s="112" t="str">
        <f>IF(([1]Soutěž!$B44)="","",([1]Soutěž!$B44))</f>
        <v/>
      </c>
      <c r="AM7" s="117">
        <f t="shared" si="24"/>
        <v>0</v>
      </c>
      <c r="AN7" s="117">
        <f t="shared" si="25"/>
        <v>0</v>
      </c>
      <c r="AO7" s="117">
        <f t="shared" si="26"/>
        <v>0</v>
      </c>
      <c r="AP7" s="117">
        <f t="shared" si="27"/>
        <v>0</v>
      </c>
      <c r="AQ7" s="117">
        <f t="shared" si="28"/>
        <v>0</v>
      </c>
      <c r="AR7" s="119" t="str">
        <f t="shared" si="29"/>
        <v/>
      </c>
      <c r="AS7" s="117">
        <f t="shared" si="30"/>
        <v>0</v>
      </c>
      <c r="AT7" s="117">
        <f t="shared" si="31"/>
        <v>0</v>
      </c>
      <c r="AU7" s="117">
        <f t="shared" si="32"/>
        <v>0</v>
      </c>
      <c r="AV7" s="117">
        <f t="shared" si="33"/>
        <v>0</v>
      </c>
      <c r="AW7" s="117">
        <f t="shared" si="34"/>
        <v>0</v>
      </c>
      <c r="AX7" s="119" t="str">
        <f t="shared" si="35"/>
        <v/>
      </c>
      <c r="AY7" s="117">
        <f t="shared" si="36"/>
        <v>0</v>
      </c>
      <c r="AZ7" s="117">
        <f t="shared" si="37"/>
        <v>0</v>
      </c>
      <c r="BA7" s="119" t="str">
        <f t="shared" si="38"/>
        <v/>
      </c>
      <c r="BB7" s="117">
        <f t="shared" si="39"/>
        <v>0</v>
      </c>
      <c r="BC7" s="112"/>
      <c r="BD7" s="117">
        <f t="shared" si="40"/>
        <v>99</v>
      </c>
      <c r="BE7" s="117">
        <f t="shared" si="41"/>
        <v>7</v>
      </c>
      <c r="BG7" s="112" t="str">
        <f t="shared" si="42"/>
        <v/>
      </c>
      <c r="BH7" s="112" t="str">
        <f t="shared" si="43"/>
        <v>Robin Křenek</v>
      </c>
      <c r="BI7" s="117">
        <f t="shared" si="44"/>
        <v>12</v>
      </c>
      <c r="BJ7" s="112" t="str">
        <f t="shared" si="45"/>
        <v>Robin Křenek</v>
      </c>
      <c r="BK7" s="112" t="str">
        <f t="shared" si="46"/>
        <v>Robin Křenek</v>
      </c>
      <c r="BL7" s="117">
        <f t="shared" si="47"/>
        <v>12</v>
      </c>
      <c r="BM7" s="117">
        <f t="shared" si="48"/>
        <v>23</v>
      </c>
      <c r="BN7" s="117">
        <f t="shared" si="49"/>
        <v>1</v>
      </c>
      <c r="BP7" s="112" t="str">
        <f t="shared" si="1"/>
        <v/>
      </c>
      <c r="BQ7" s="112" t="str">
        <f t="shared" si="50"/>
        <v>Robin Křenek</v>
      </c>
      <c r="BR7" s="117">
        <f t="shared" si="51"/>
        <v>105643586</v>
      </c>
      <c r="BS7" s="112" t="str">
        <f t="shared" si="52"/>
        <v>Jihlava</v>
      </c>
      <c r="BT7" s="112" t="str">
        <f t="shared" si="53"/>
        <v>AUV</v>
      </c>
      <c r="BU7" s="112" t="str">
        <f t="shared" si="54"/>
        <v>3J4 2075</v>
      </c>
      <c r="BY7" s="117">
        <f t="shared" si="55"/>
        <v>0</v>
      </c>
      <c r="BZ7" s="117" t="str">
        <f>IF(Výplata!D10="","",Výplata!D10)</f>
        <v/>
      </c>
    </row>
    <row r="8" spans="1:78" x14ac:dyDescent="0.25">
      <c r="A8" s="117">
        <f t="shared" si="56"/>
        <v>6</v>
      </c>
      <c r="B8" s="114" t="s">
        <v>51</v>
      </c>
      <c r="C8" s="21">
        <v>111492231</v>
      </c>
      <c r="D8" s="114" t="s">
        <v>140</v>
      </c>
      <c r="E8" s="113" t="s">
        <v>52</v>
      </c>
      <c r="F8" s="21"/>
      <c r="G8" s="113">
        <v>723993684</v>
      </c>
      <c r="I8" s="117">
        <f t="shared" si="2"/>
        <v>0</v>
      </c>
      <c r="J8" s="117">
        <f t="shared" si="3"/>
        <v>11</v>
      </c>
      <c r="K8" s="119" t="str">
        <f t="shared" si="4"/>
        <v>Čapík Radek</v>
      </c>
      <c r="L8" s="117">
        <f t="shared" si="5"/>
        <v>11</v>
      </c>
      <c r="M8" s="117">
        <f t="shared" si="6"/>
        <v>6</v>
      </c>
      <c r="N8" s="117">
        <f t="shared" si="7"/>
        <v>0</v>
      </c>
      <c r="O8" s="117">
        <f t="shared" si="8"/>
        <v>0</v>
      </c>
      <c r="P8" s="117">
        <f t="shared" si="9"/>
        <v>6</v>
      </c>
      <c r="Q8" s="117"/>
      <c r="R8" s="119" t="str">
        <f t="shared" si="10"/>
        <v>Čapík</v>
      </c>
      <c r="S8" s="119" t="str">
        <f t="shared" si="11"/>
        <v>Radek</v>
      </c>
      <c r="T8" s="117" t="str">
        <f t="shared" si="12"/>
        <v/>
      </c>
      <c r="U8" s="94">
        <f t="shared" si="13"/>
        <v>5</v>
      </c>
      <c r="V8" s="94">
        <f t="shared" si="14"/>
        <v>5</v>
      </c>
      <c r="W8" s="95" t="str">
        <f t="shared" si="15"/>
        <v>Radek</v>
      </c>
      <c r="Y8" s="117">
        <f t="shared" si="16"/>
        <v>8</v>
      </c>
      <c r="Z8" s="117">
        <f t="shared" si="17"/>
        <v>8</v>
      </c>
      <c r="AA8" s="112" t="str">
        <f t="shared" si="18"/>
        <v>Rumburk</v>
      </c>
      <c r="AB8" s="112"/>
      <c r="AC8" s="129">
        <v>6</v>
      </c>
      <c r="AD8" s="130" t="str">
        <f t="shared" si="19"/>
        <v>Radek Čapík</v>
      </c>
      <c r="AE8" s="130" t="str">
        <f t="shared" si="58"/>
        <v>Radek Čapík</v>
      </c>
      <c r="AF8" s="130" t="str">
        <f t="shared" si="21"/>
        <v>Rumburk</v>
      </c>
      <c r="AG8" s="131">
        <f t="shared" si="22"/>
        <v>111492231</v>
      </c>
      <c r="AH8" s="132" t="str">
        <f t="shared" si="23"/>
        <v>3U1 4310</v>
      </c>
      <c r="AJ8" s="117">
        <f t="shared" si="57"/>
        <v>6</v>
      </c>
      <c r="AK8" s="93" t="str">
        <f>[1]Soutěž!$A$45</f>
        <v>Před. žíněnek:</v>
      </c>
      <c r="AL8" s="112" t="str">
        <f>IF(([1]Soutěž!$B45)="","",([1]Soutěž!$B45))</f>
        <v>Milan Slončík</v>
      </c>
      <c r="AM8" s="117">
        <f t="shared" si="24"/>
        <v>13</v>
      </c>
      <c r="AN8" s="117">
        <f t="shared" si="25"/>
        <v>6</v>
      </c>
      <c r="AO8" s="117">
        <f t="shared" si="26"/>
        <v>0</v>
      </c>
      <c r="AP8" s="117">
        <f t="shared" si="27"/>
        <v>0</v>
      </c>
      <c r="AQ8" s="117">
        <f t="shared" si="28"/>
        <v>6</v>
      </c>
      <c r="AR8" s="119" t="str">
        <f t="shared" si="29"/>
        <v>Slončík</v>
      </c>
      <c r="AS8" s="117">
        <f t="shared" si="30"/>
        <v>7</v>
      </c>
      <c r="AT8" s="117">
        <f t="shared" si="31"/>
        <v>0</v>
      </c>
      <c r="AU8" s="117">
        <f t="shared" si="32"/>
        <v>0</v>
      </c>
      <c r="AV8" s="117">
        <f t="shared" si="33"/>
        <v>0</v>
      </c>
      <c r="AW8" s="117">
        <f t="shared" si="34"/>
        <v>0</v>
      </c>
      <c r="AX8" s="119" t="str">
        <f t="shared" si="35"/>
        <v>Slončík</v>
      </c>
      <c r="AY8" s="117">
        <f t="shared" si="36"/>
        <v>7</v>
      </c>
      <c r="AZ8" s="117">
        <f t="shared" si="37"/>
        <v>0</v>
      </c>
      <c r="BA8" s="119" t="str">
        <f t="shared" si="38"/>
        <v xml:space="preserve"> Slončík</v>
      </c>
      <c r="BB8" s="117">
        <f t="shared" si="39"/>
        <v>8</v>
      </c>
      <c r="BC8" s="112"/>
      <c r="BD8" s="117">
        <f t="shared" si="40"/>
        <v>6</v>
      </c>
      <c r="BE8" s="117">
        <f t="shared" si="41"/>
        <v>10</v>
      </c>
      <c r="BG8" s="112" t="str">
        <f t="shared" si="42"/>
        <v>Rozhodčí:</v>
      </c>
      <c r="BH8" s="112" t="str">
        <f>IF(BE8=$BD$2,"",(INDEX($AL$3:$AL$22,BE8)))</f>
        <v>Martin Hakl</v>
      </c>
      <c r="BI8" s="117">
        <f t="shared" si="44"/>
        <v>11</v>
      </c>
      <c r="BJ8" s="112" t="str">
        <f t="shared" si="45"/>
        <v>Martin Hakl</v>
      </c>
      <c r="BK8" s="112" t="str">
        <f>IF(BJ8="","",(IF((MID(BH8,1,4))=$BI$1,(MID(BH8,6,BI8-4)),IF((MID(BH8,1,4))=$BJ$1,(MID(BH8,6,BI8-4)),IF((MID(BH8,BI8-3,4))=$BK$1,(MID(BH8,1,BI8-5)),(MID(BH8,1,BI8)))))))</f>
        <v>Martin Hakl</v>
      </c>
      <c r="BL8" s="117">
        <f t="shared" si="47"/>
        <v>11</v>
      </c>
      <c r="BM8" s="117">
        <f>IF(BG8=$BO$1,98,(IF(BG8=$BM$1,98,(IF(BL8=0,99,(MATCH(BK8,$AE$3:$AE$102,0)))))))</f>
        <v>11</v>
      </c>
      <c r="BN8" s="117">
        <f t="shared" si="49"/>
        <v>1</v>
      </c>
      <c r="BP8" s="112" t="str">
        <f t="shared" si="1"/>
        <v>Rozhodčí:</v>
      </c>
      <c r="BQ8" s="112" t="str">
        <f t="shared" si="50"/>
        <v>Martin Hakl</v>
      </c>
      <c r="BR8" s="117">
        <f t="shared" si="51"/>
        <v>111809845</v>
      </c>
      <c r="BS8" s="112" t="str">
        <f t="shared" si="52"/>
        <v>Chrastava</v>
      </c>
      <c r="BT8" s="112" t="str">
        <f t="shared" si="53"/>
        <v>AUV</v>
      </c>
      <c r="BU8" s="112" t="str">
        <f t="shared" si="54"/>
        <v>4AZ 4522</v>
      </c>
      <c r="BY8" s="117">
        <f t="shared" si="55"/>
        <v>0</v>
      </c>
      <c r="BZ8" s="117" t="str">
        <f>IF(Výplata!D11="","",Výplata!D11)</f>
        <v/>
      </c>
    </row>
    <row r="9" spans="1:78" x14ac:dyDescent="0.25">
      <c r="A9" s="117">
        <f t="shared" si="56"/>
        <v>7</v>
      </c>
      <c r="B9" s="114" t="s">
        <v>53</v>
      </c>
      <c r="C9" s="21">
        <v>111802048</v>
      </c>
      <c r="D9" s="114" t="s">
        <v>141</v>
      </c>
      <c r="E9" s="113" t="s">
        <v>54</v>
      </c>
      <c r="F9" s="21">
        <v>3</v>
      </c>
      <c r="G9" s="113">
        <v>773814148</v>
      </c>
      <c r="I9" s="117">
        <f t="shared" si="2"/>
        <v>0</v>
      </c>
      <c r="J9" s="117">
        <f t="shared" si="3"/>
        <v>15</v>
      </c>
      <c r="K9" s="119" t="str">
        <f t="shared" si="4"/>
        <v>Čermák Alexandr</v>
      </c>
      <c r="L9" s="117">
        <f t="shared" si="5"/>
        <v>15</v>
      </c>
      <c r="M9" s="117">
        <f t="shared" si="6"/>
        <v>7</v>
      </c>
      <c r="N9" s="117">
        <f t="shared" si="7"/>
        <v>0</v>
      </c>
      <c r="O9" s="117">
        <f t="shared" si="8"/>
        <v>0</v>
      </c>
      <c r="P9" s="117">
        <f t="shared" si="9"/>
        <v>7</v>
      </c>
      <c r="Q9" s="117"/>
      <c r="R9" s="119" t="str">
        <f t="shared" si="10"/>
        <v>Čermák</v>
      </c>
      <c r="S9" s="119" t="str">
        <f t="shared" si="11"/>
        <v>Alexandr</v>
      </c>
      <c r="T9" s="117" t="str">
        <f t="shared" si="12"/>
        <v/>
      </c>
      <c r="U9" s="94">
        <f t="shared" si="13"/>
        <v>8</v>
      </c>
      <c r="V9" s="94">
        <f t="shared" si="14"/>
        <v>8</v>
      </c>
      <c r="W9" s="95" t="str">
        <f t="shared" si="15"/>
        <v>Alexandr</v>
      </c>
      <c r="Y9" s="117">
        <f t="shared" si="16"/>
        <v>16</v>
      </c>
      <c r="Z9" s="117">
        <f t="shared" si="17"/>
        <v>6</v>
      </c>
      <c r="AA9" s="112" t="str">
        <f t="shared" si="18"/>
        <v>Zdice</v>
      </c>
      <c r="AB9" s="112"/>
      <c r="AC9" s="129">
        <v>7</v>
      </c>
      <c r="AD9" s="130" t="str">
        <f t="shared" si="19"/>
        <v>Alexandr Čermák</v>
      </c>
      <c r="AE9" s="130" t="str">
        <f t="shared" si="58"/>
        <v>Alexandr Čermák</v>
      </c>
      <c r="AF9" s="130" t="str">
        <f t="shared" si="21"/>
        <v>Zdice</v>
      </c>
      <c r="AG9" s="131">
        <f t="shared" si="22"/>
        <v>111802048</v>
      </c>
      <c r="AH9" s="132" t="str">
        <f t="shared" si="23"/>
        <v>2AE 5503</v>
      </c>
      <c r="AJ9" s="117">
        <f t="shared" si="57"/>
        <v>7</v>
      </c>
      <c r="AL9" s="112" t="str">
        <f>IF(([1]Soutěž!$B46)="","",([1]Soutěž!$B46))</f>
        <v>Robin Křenek</v>
      </c>
      <c r="AM9" s="117">
        <f t="shared" si="24"/>
        <v>12</v>
      </c>
      <c r="AN9" s="117">
        <f t="shared" si="25"/>
        <v>6</v>
      </c>
      <c r="AO9" s="117">
        <f t="shared" si="26"/>
        <v>0</v>
      </c>
      <c r="AP9" s="117">
        <f t="shared" si="27"/>
        <v>0</v>
      </c>
      <c r="AQ9" s="117">
        <f t="shared" si="28"/>
        <v>6</v>
      </c>
      <c r="AR9" s="119" t="str">
        <f t="shared" si="29"/>
        <v>Křenek</v>
      </c>
      <c r="AS9" s="117">
        <f t="shared" si="30"/>
        <v>6</v>
      </c>
      <c r="AT9" s="117">
        <f t="shared" si="31"/>
        <v>0</v>
      </c>
      <c r="AU9" s="117">
        <f t="shared" si="32"/>
        <v>0</v>
      </c>
      <c r="AV9" s="117">
        <f t="shared" si="33"/>
        <v>0</v>
      </c>
      <c r="AW9" s="117">
        <f t="shared" si="34"/>
        <v>0</v>
      </c>
      <c r="AX9" s="119" t="str">
        <f t="shared" si="35"/>
        <v>Křenek</v>
      </c>
      <c r="AY9" s="117">
        <f t="shared" si="36"/>
        <v>6</v>
      </c>
      <c r="AZ9" s="117">
        <f t="shared" si="37"/>
        <v>0</v>
      </c>
      <c r="BA9" s="119" t="str">
        <f t="shared" si="38"/>
        <v xml:space="preserve"> Křenek</v>
      </c>
      <c r="BB9" s="117">
        <f t="shared" si="39"/>
        <v>7</v>
      </c>
      <c r="BC9" s="112"/>
      <c r="BD9" s="117">
        <f t="shared" si="40"/>
        <v>7</v>
      </c>
      <c r="BE9" s="117">
        <f t="shared" si="41"/>
        <v>11</v>
      </c>
      <c r="BG9" s="112" t="str">
        <f t="shared" si="42"/>
        <v/>
      </c>
      <c r="BH9" s="112" t="str">
        <f t="shared" si="43"/>
        <v>Petr Skalický</v>
      </c>
      <c r="BI9" s="117">
        <f t="shared" si="44"/>
        <v>13</v>
      </c>
      <c r="BJ9" s="112" t="str">
        <f t="shared" si="45"/>
        <v>Petr Skalický</v>
      </c>
      <c r="BK9" s="112" t="str">
        <f t="shared" si="46"/>
        <v>Petr Skalický</v>
      </c>
      <c r="BL9" s="117">
        <f t="shared" si="47"/>
        <v>13</v>
      </c>
      <c r="BM9" s="117" t="e">
        <f t="shared" si="48"/>
        <v>#N/A</v>
      </c>
      <c r="BN9" s="117">
        <f t="shared" si="49"/>
        <v>0</v>
      </c>
      <c r="BP9" s="112" t="str">
        <f t="shared" si="1"/>
        <v/>
      </c>
      <c r="BQ9" s="112" t="str">
        <f t="shared" si="50"/>
        <v>Petr Skalický</v>
      </c>
      <c r="BR9" s="117" t="str">
        <f t="shared" si="51"/>
        <v/>
      </c>
      <c r="BS9" s="112" t="str">
        <f t="shared" si="52"/>
        <v/>
      </c>
      <c r="BT9" s="112" t="str">
        <f t="shared" si="53"/>
        <v/>
      </c>
      <c r="BU9" s="112" t="str">
        <f t="shared" si="54"/>
        <v/>
      </c>
      <c r="BY9" s="117">
        <f t="shared" si="55"/>
        <v>0</v>
      </c>
      <c r="BZ9" s="117" t="str">
        <f>IF(Výplata!D12="","",Výplata!D12)</f>
        <v/>
      </c>
    </row>
    <row r="10" spans="1:78" x14ac:dyDescent="0.25">
      <c r="A10" s="117">
        <f t="shared" si="56"/>
        <v>8</v>
      </c>
      <c r="B10" s="114" t="s">
        <v>55</v>
      </c>
      <c r="C10" s="21">
        <v>101911319</v>
      </c>
      <c r="D10" s="114" t="s">
        <v>137</v>
      </c>
      <c r="E10" s="113" t="s">
        <v>56</v>
      </c>
      <c r="F10" s="21"/>
      <c r="G10" s="113">
        <v>604661137</v>
      </c>
      <c r="I10" s="117">
        <f t="shared" si="2"/>
        <v>0</v>
      </c>
      <c r="J10" s="117">
        <f t="shared" si="3"/>
        <v>16</v>
      </c>
      <c r="K10" s="119" t="str">
        <f t="shared" si="4"/>
        <v>Dostál Stanislav</v>
      </c>
      <c r="L10" s="117">
        <f t="shared" si="5"/>
        <v>16</v>
      </c>
      <c r="M10" s="117">
        <f t="shared" si="6"/>
        <v>7</v>
      </c>
      <c r="N10" s="117">
        <f t="shared" si="7"/>
        <v>0</v>
      </c>
      <c r="O10" s="117">
        <f t="shared" si="8"/>
        <v>0</v>
      </c>
      <c r="P10" s="117">
        <f t="shared" si="9"/>
        <v>7</v>
      </c>
      <c r="Q10" s="117"/>
      <c r="R10" s="119" t="str">
        <f t="shared" si="10"/>
        <v>Dostál</v>
      </c>
      <c r="S10" s="119" t="str">
        <f t="shared" si="11"/>
        <v>Stanislav</v>
      </c>
      <c r="T10" s="117" t="str">
        <f t="shared" si="12"/>
        <v/>
      </c>
      <c r="U10" s="94">
        <f t="shared" si="13"/>
        <v>9</v>
      </c>
      <c r="V10" s="94">
        <f t="shared" si="14"/>
        <v>9</v>
      </c>
      <c r="W10" s="95" t="str">
        <f t="shared" si="15"/>
        <v>Stanislav</v>
      </c>
      <c r="Y10" s="117">
        <f t="shared" si="16"/>
        <v>12</v>
      </c>
      <c r="Z10" s="117">
        <f t="shared" si="17"/>
        <v>11</v>
      </c>
      <c r="AA10" s="112" t="str">
        <f t="shared" si="18"/>
        <v>Nový Jičín</v>
      </c>
      <c r="AB10" s="112"/>
      <c r="AC10" s="129">
        <v>8</v>
      </c>
      <c r="AD10" s="130" t="str">
        <f t="shared" si="19"/>
        <v>Stanislav Dostál</v>
      </c>
      <c r="AE10" s="130" t="str">
        <f t="shared" si="58"/>
        <v>Stanislav Dostál</v>
      </c>
      <c r="AF10" s="130" t="str">
        <f t="shared" si="21"/>
        <v>Nový Jičín</v>
      </c>
      <c r="AG10" s="131">
        <f t="shared" si="22"/>
        <v>101911319</v>
      </c>
      <c r="AH10" s="132" t="str">
        <f t="shared" si="23"/>
        <v>5T9 2941</v>
      </c>
      <c r="AJ10" s="117">
        <f t="shared" si="57"/>
        <v>8</v>
      </c>
      <c r="AL10" s="112" t="str">
        <f>IF(([1]Soutěž!$B47)="","",([1]Soutěž!$B47))</f>
        <v/>
      </c>
      <c r="AM10" s="117">
        <f t="shared" si="24"/>
        <v>0</v>
      </c>
      <c r="AN10" s="117">
        <f t="shared" si="25"/>
        <v>0</v>
      </c>
      <c r="AO10" s="117">
        <f t="shared" si="26"/>
        <v>0</v>
      </c>
      <c r="AP10" s="117">
        <f t="shared" si="27"/>
        <v>0</v>
      </c>
      <c r="AQ10" s="117">
        <f t="shared" si="28"/>
        <v>0</v>
      </c>
      <c r="AR10" s="119" t="str">
        <f t="shared" si="29"/>
        <v/>
      </c>
      <c r="AS10" s="117">
        <f t="shared" si="30"/>
        <v>0</v>
      </c>
      <c r="AT10" s="117">
        <f t="shared" si="31"/>
        <v>0</v>
      </c>
      <c r="AU10" s="117">
        <f t="shared" si="32"/>
        <v>0</v>
      </c>
      <c r="AV10" s="117">
        <f t="shared" si="33"/>
        <v>0</v>
      </c>
      <c r="AW10" s="117">
        <f t="shared" si="34"/>
        <v>0</v>
      </c>
      <c r="AX10" s="119" t="str">
        <f t="shared" si="35"/>
        <v/>
      </c>
      <c r="AY10" s="117">
        <f t="shared" si="36"/>
        <v>0</v>
      </c>
      <c r="AZ10" s="117">
        <f t="shared" si="37"/>
        <v>0</v>
      </c>
      <c r="BA10" s="119" t="str">
        <f t="shared" si="38"/>
        <v/>
      </c>
      <c r="BB10" s="117">
        <f t="shared" si="39"/>
        <v>0</v>
      </c>
      <c r="BC10" s="112"/>
      <c r="BD10" s="117">
        <f t="shared" si="40"/>
        <v>99</v>
      </c>
      <c r="BE10" s="117">
        <f t="shared" si="41"/>
        <v>12</v>
      </c>
      <c r="BG10" s="112" t="str">
        <f t="shared" si="42"/>
        <v/>
      </c>
      <c r="BH10" s="112" t="str">
        <f t="shared" si="43"/>
        <v>František Maňásek</v>
      </c>
      <c r="BI10" s="117">
        <f t="shared" si="44"/>
        <v>17</v>
      </c>
      <c r="BJ10" s="112" t="str">
        <f t="shared" si="45"/>
        <v>František Maňásek</v>
      </c>
      <c r="BK10" s="112" t="str">
        <f t="shared" si="46"/>
        <v>František Maňásek</v>
      </c>
      <c r="BL10" s="117">
        <f t="shared" si="47"/>
        <v>17</v>
      </c>
      <c r="BM10" s="117">
        <f t="shared" si="48"/>
        <v>28</v>
      </c>
      <c r="BN10" s="117">
        <f t="shared" si="49"/>
        <v>1</v>
      </c>
      <c r="BP10" s="112" t="str">
        <f t="shared" si="1"/>
        <v/>
      </c>
      <c r="BQ10" s="112" t="str">
        <f t="shared" si="50"/>
        <v>František Maňásek</v>
      </c>
      <c r="BR10" s="117">
        <f t="shared" si="51"/>
        <v>109017360</v>
      </c>
      <c r="BS10" s="112" t="str">
        <f t="shared" si="52"/>
        <v>Svobodné Dvory</v>
      </c>
      <c r="BT10" s="112" t="str">
        <f t="shared" si="53"/>
        <v>AUV</v>
      </c>
      <c r="BU10" s="112" t="str">
        <f t="shared" si="54"/>
        <v>6H3 3951</v>
      </c>
      <c r="BY10" s="117">
        <f t="shared" si="55"/>
        <v>0</v>
      </c>
      <c r="BZ10" s="117" t="str">
        <f>IF(Výplata!D13="","",Výplata!D13)</f>
        <v/>
      </c>
    </row>
    <row r="11" spans="1:78" x14ac:dyDescent="0.25">
      <c r="A11" s="117">
        <f t="shared" si="56"/>
        <v>9</v>
      </c>
      <c r="B11" s="113" t="s">
        <v>57</v>
      </c>
      <c r="C11" s="21">
        <v>100788538</v>
      </c>
      <c r="D11" s="113" t="s">
        <v>142</v>
      </c>
      <c r="E11" s="113" t="s">
        <v>58</v>
      </c>
      <c r="F11" s="21"/>
      <c r="G11" s="113">
        <v>720201676</v>
      </c>
      <c r="I11" s="117">
        <f t="shared" si="2"/>
        <v>0</v>
      </c>
      <c r="J11" s="117">
        <f t="shared" si="3"/>
        <v>9</v>
      </c>
      <c r="K11" s="119" t="str">
        <f t="shared" si="4"/>
        <v>Durec Jan</v>
      </c>
      <c r="L11" s="117">
        <f t="shared" si="5"/>
        <v>9</v>
      </c>
      <c r="M11" s="117">
        <f t="shared" si="6"/>
        <v>6</v>
      </c>
      <c r="N11" s="117">
        <f t="shared" si="7"/>
        <v>0</v>
      </c>
      <c r="O11" s="117">
        <f t="shared" si="8"/>
        <v>0</v>
      </c>
      <c r="P11" s="117">
        <f t="shared" si="9"/>
        <v>6</v>
      </c>
      <c r="Q11" s="117"/>
      <c r="R11" s="119" t="str">
        <f t="shared" si="10"/>
        <v>Durec</v>
      </c>
      <c r="S11" s="119" t="str">
        <f t="shared" si="11"/>
        <v>Jan</v>
      </c>
      <c r="T11" s="117" t="str">
        <f t="shared" si="12"/>
        <v/>
      </c>
      <c r="U11" s="94">
        <f t="shared" si="13"/>
        <v>3</v>
      </c>
      <c r="V11" s="94">
        <f t="shared" si="14"/>
        <v>3</v>
      </c>
      <c r="W11" s="95" t="str">
        <f t="shared" si="15"/>
        <v>Jan</v>
      </c>
      <c r="Y11" s="117">
        <f t="shared" si="16"/>
        <v>27</v>
      </c>
      <c r="Z11" s="117">
        <f t="shared" si="17"/>
        <v>12</v>
      </c>
      <c r="AA11" s="112" t="str">
        <f t="shared" si="18"/>
        <v>Krásná Lípa</v>
      </c>
      <c r="AB11" s="112"/>
      <c r="AC11" s="129">
        <v>9</v>
      </c>
      <c r="AD11" s="130" t="str">
        <f t="shared" si="19"/>
        <v>Jan Durec</v>
      </c>
      <c r="AE11" s="130" t="str">
        <f t="shared" si="58"/>
        <v>Jan Durec</v>
      </c>
      <c r="AF11" s="130" t="str">
        <f t="shared" si="21"/>
        <v>Krásná Lípa</v>
      </c>
      <c r="AG11" s="131">
        <f t="shared" si="22"/>
        <v>100788538</v>
      </c>
      <c r="AH11" s="132" t="str">
        <f t="shared" si="23"/>
        <v>DCE 07-76</v>
      </c>
      <c r="AJ11" s="117">
        <f t="shared" si="57"/>
        <v>9</v>
      </c>
      <c r="AL11" s="112" t="str">
        <f>IF(([1]Soutěž!$B48)="","",([1]Soutěž!$B48))</f>
        <v/>
      </c>
      <c r="AM11" s="117">
        <f t="shared" si="24"/>
        <v>0</v>
      </c>
      <c r="AN11" s="117">
        <f t="shared" si="25"/>
        <v>0</v>
      </c>
      <c r="AO11" s="117">
        <f t="shared" si="26"/>
        <v>0</v>
      </c>
      <c r="AP11" s="117">
        <f t="shared" si="27"/>
        <v>0</v>
      </c>
      <c r="AQ11" s="117">
        <f t="shared" si="28"/>
        <v>0</v>
      </c>
      <c r="AR11" s="119" t="str">
        <f t="shared" si="29"/>
        <v/>
      </c>
      <c r="AS11" s="117">
        <f t="shared" si="30"/>
        <v>0</v>
      </c>
      <c r="AT11" s="117">
        <f t="shared" si="31"/>
        <v>0</v>
      </c>
      <c r="AU11" s="117">
        <f t="shared" si="32"/>
        <v>0</v>
      </c>
      <c r="AV11" s="117">
        <f t="shared" si="33"/>
        <v>0</v>
      </c>
      <c r="AW11" s="117">
        <f t="shared" si="34"/>
        <v>0</v>
      </c>
      <c r="AX11" s="119" t="str">
        <f t="shared" si="35"/>
        <v/>
      </c>
      <c r="AY11" s="117">
        <f t="shared" si="36"/>
        <v>0</v>
      </c>
      <c r="AZ11" s="117">
        <f t="shared" si="37"/>
        <v>0</v>
      </c>
      <c r="BA11" s="119" t="str">
        <f t="shared" si="38"/>
        <v/>
      </c>
      <c r="BB11" s="117">
        <f t="shared" si="39"/>
        <v>0</v>
      </c>
      <c r="BC11" s="112"/>
      <c r="BD11" s="117">
        <f t="shared" si="40"/>
        <v>99</v>
      </c>
      <c r="BE11" s="117">
        <f t="shared" si="41"/>
        <v>13</v>
      </c>
      <c r="BG11" s="112" t="str">
        <f t="shared" si="42"/>
        <v/>
      </c>
      <c r="BH11" s="112" t="str">
        <f t="shared" si="43"/>
        <v>ing. Josef Školník</v>
      </c>
      <c r="BI11" s="117">
        <f t="shared" si="44"/>
        <v>18</v>
      </c>
      <c r="BJ11" s="112" t="str">
        <f t="shared" si="45"/>
        <v>Josef Školník</v>
      </c>
      <c r="BK11" s="112" t="str">
        <f t="shared" si="46"/>
        <v>Josef Školník</v>
      </c>
      <c r="BL11" s="117">
        <f t="shared" si="47"/>
        <v>13</v>
      </c>
      <c r="BM11" s="117">
        <f t="shared" si="48"/>
        <v>48</v>
      </c>
      <c r="BN11" s="117">
        <f t="shared" si="49"/>
        <v>1</v>
      </c>
      <c r="BP11" s="112" t="str">
        <f t="shared" si="1"/>
        <v/>
      </c>
      <c r="BQ11" s="112" t="str">
        <f t="shared" si="50"/>
        <v>Josef Školník</v>
      </c>
      <c r="BR11" s="117">
        <f t="shared" si="51"/>
        <v>115546451</v>
      </c>
      <c r="BS11" s="112" t="str">
        <f t="shared" si="52"/>
        <v>Bílina</v>
      </c>
      <c r="BT11" s="112" t="str">
        <f t="shared" si="53"/>
        <v>AUV</v>
      </c>
      <c r="BU11" s="112" t="str">
        <f t="shared" si="54"/>
        <v>3U1 0545</v>
      </c>
      <c r="BY11" s="117">
        <f t="shared" si="55"/>
        <v>0</v>
      </c>
      <c r="BZ11" s="117" t="str">
        <f>IF(Výplata!D14="","",Výplata!D14)</f>
        <v/>
      </c>
    </row>
    <row r="12" spans="1:78" x14ac:dyDescent="0.25">
      <c r="A12" s="117">
        <f t="shared" si="56"/>
        <v>10</v>
      </c>
      <c r="B12" s="113" t="s">
        <v>179</v>
      </c>
      <c r="C12" s="21" t="s">
        <v>59</v>
      </c>
      <c r="D12" s="113" t="s">
        <v>143</v>
      </c>
      <c r="E12" s="113" t="s">
        <v>60</v>
      </c>
      <c r="F12" s="21" t="s">
        <v>61</v>
      </c>
      <c r="G12" s="113">
        <v>607902170</v>
      </c>
      <c r="I12" s="117">
        <f t="shared" si="2"/>
        <v>0</v>
      </c>
      <c r="J12" s="117">
        <f t="shared" si="3"/>
        <v>18</v>
      </c>
      <c r="K12" s="119" t="str">
        <f t="shared" si="4"/>
        <v>Friedrich Bohuslav</v>
      </c>
      <c r="L12" s="117">
        <f t="shared" si="5"/>
        <v>18</v>
      </c>
      <c r="M12" s="117">
        <f t="shared" si="6"/>
        <v>0</v>
      </c>
      <c r="N12" s="117">
        <f t="shared" si="7"/>
        <v>10</v>
      </c>
      <c r="O12" s="117">
        <f t="shared" si="8"/>
        <v>0</v>
      </c>
      <c r="P12" s="117">
        <f t="shared" si="9"/>
        <v>10</v>
      </c>
      <c r="Q12" s="117"/>
      <c r="R12" s="119" t="str">
        <f t="shared" si="10"/>
        <v>Friedrich</v>
      </c>
      <c r="S12" s="119" t="str">
        <f t="shared" si="11"/>
        <v>Bohuslav</v>
      </c>
      <c r="T12" s="117" t="str">
        <f t="shared" si="12"/>
        <v/>
      </c>
      <c r="U12" s="94">
        <f t="shared" si="13"/>
        <v>8</v>
      </c>
      <c r="V12" s="94">
        <f t="shared" si="14"/>
        <v>8</v>
      </c>
      <c r="W12" s="95" t="str">
        <f t="shared" si="15"/>
        <v>Bohuslav</v>
      </c>
      <c r="Y12" s="117">
        <f t="shared" si="16"/>
        <v>25</v>
      </c>
      <c r="Z12" s="117">
        <f t="shared" si="17"/>
        <v>8</v>
      </c>
      <c r="AA12" s="112" t="str">
        <f t="shared" si="18"/>
        <v>Liberec</v>
      </c>
      <c r="AB12" s="112"/>
      <c r="AC12" s="129">
        <v>10</v>
      </c>
      <c r="AD12" s="130" t="str">
        <f t="shared" si="19"/>
        <v>Bohuslav Friedrich</v>
      </c>
      <c r="AE12" s="130" t="str">
        <f t="shared" si="58"/>
        <v>Bohuslav Friedrich</v>
      </c>
      <c r="AF12" s="130" t="str">
        <f t="shared" si="21"/>
        <v>Liberec</v>
      </c>
      <c r="AG12" s="131" t="str">
        <f t="shared" si="22"/>
        <v>EK 543251</v>
      </c>
      <c r="AH12" s="132" t="str">
        <f t="shared" si="23"/>
        <v>1L3 9065</v>
      </c>
      <c r="AJ12" s="117">
        <f t="shared" si="57"/>
        <v>10</v>
      </c>
      <c r="AK12" s="93" t="str">
        <f>[1]Soutěž!$A$49</f>
        <v>Rozhodčí:</v>
      </c>
      <c r="AL12" s="112" t="str">
        <f>IF(([1]Soutěž!$B49)="","",([1]Soutěž!$B49))</f>
        <v>Martin Hakl</v>
      </c>
      <c r="AM12" s="117">
        <f t="shared" si="24"/>
        <v>11</v>
      </c>
      <c r="AN12" s="117">
        <f t="shared" si="25"/>
        <v>7</v>
      </c>
      <c r="AO12" s="117">
        <f t="shared" si="26"/>
        <v>0</v>
      </c>
      <c r="AP12" s="117">
        <f t="shared" si="27"/>
        <v>0</v>
      </c>
      <c r="AQ12" s="117">
        <f t="shared" si="28"/>
        <v>7</v>
      </c>
      <c r="AR12" s="119" t="str">
        <f t="shared" si="29"/>
        <v>Hakl</v>
      </c>
      <c r="AS12" s="117">
        <f t="shared" si="30"/>
        <v>4</v>
      </c>
      <c r="AT12" s="117">
        <f t="shared" si="31"/>
        <v>0</v>
      </c>
      <c r="AU12" s="117">
        <f t="shared" si="32"/>
        <v>0</v>
      </c>
      <c r="AV12" s="117">
        <f t="shared" si="33"/>
        <v>0</v>
      </c>
      <c r="AW12" s="117">
        <f t="shared" si="34"/>
        <v>0</v>
      </c>
      <c r="AX12" s="119" t="str">
        <f t="shared" si="35"/>
        <v>Hakl</v>
      </c>
      <c r="AY12" s="117">
        <f t="shared" si="36"/>
        <v>4</v>
      </c>
      <c r="AZ12" s="117">
        <f t="shared" si="37"/>
        <v>0</v>
      </c>
      <c r="BA12" s="119" t="str">
        <f t="shared" si="38"/>
        <v>n Hakl</v>
      </c>
      <c r="BB12" s="117">
        <f t="shared" si="39"/>
        <v>6</v>
      </c>
      <c r="BC12" s="112"/>
      <c r="BD12" s="117">
        <f t="shared" si="40"/>
        <v>10</v>
      </c>
      <c r="BE12" s="117">
        <f t="shared" si="41"/>
        <v>14</v>
      </c>
      <c r="BG12" s="112" t="str">
        <f t="shared" si="42"/>
        <v/>
      </c>
      <c r="BH12" s="112" t="str">
        <f t="shared" si="43"/>
        <v>Vladimír Komorný</v>
      </c>
      <c r="BI12" s="117">
        <f t="shared" si="44"/>
        <v>16</v>
      </c>
      <c r="BJ12" s="112" t="str">
        <f t="shared" si="45"/>
        <v>Vladimír Komorný</v>
      </c>
      <c r="BK12" s="112" t="str">
        <f t="shared" si="46"/>
        <v>Vladimír Komorný</v>
      </c>
      <c r="BL12" s="117">
        <f t="shared" si="47"/>
        <v>16</v>
      </c>
      <c r="BM12" s="117">
        <f t="shared" si="48"/>
        <v>19</v>
      </c>
      <c r="BN12" s="117">
        <f t="shared" si="49"/>
        <v>1</v>
      </c>
      <c r="BP12" s="112" t="str">
        <f t="shared" si="1"/>
        <v/>
      </c>
      <c r="BQ12" s="112" t="str">
        <f t="shared" si="50"/>
        <v>Vladimír Komorný</v>
      </c>
      <c r="BR12" s="117">
        <f t="shared" si="51"/>
        <v>104056649</v>
      </c>
      <c r="BS12" s="112" t="str">
        <f t="shared" si="52"/>
        <v>Hodonín</v>
      </c>
      <c r="BT12" s="112" t="str">
        <f t="shared" si="53"/>
        <v>AUV</v>
      </c>
      <c r="BU12" s="112" t="str">
        <f t="shared" si="54"/>
        <v>8B5 0807</v>
      </c>
      <c r="BY12" s="117">
        <f t="shared" si="55"/>
        <v>0</v>
      </c>
      <c r="BZ12" s="117" t="str">
        <f>IF(Výplata!D15="","",Výplata!D15)</f>
        <v/>
      </c>
    </row>
    <row r="13" spans="1:78" x14ac:dyDescent="0.25">
      <c r="A13" s="117">
        <f t="shared" si="56"/>
        <v>11</v>
      </c>
      <c r="B13" s="113" t="s">
        <v>62</v>
      </c>
      <c r="C13" s="21">
        <v>111809845</v>
      </c>
      <c r="D13" s="113" t="s">
        <v>144</v>
      </c>
      <c r="E13" s="113" t="s">
        <v>236</v>
      </c>
      <c r="F13" s="21" t="s">
        <v>63</v>
      </c>
      <c r="G13" s="113">
        <v>724420373</v>
      </c>
      <c r="I13" s="117">
        <f t="shared" si="2"/>
        <v>0</v>
      </c>
      <c r="J13" s="117">
        <f t="shared" si="3"/>
        <v>11</v>
      </c>
      <c r="K13" s="119" t="str">
        <f t="shared" si="4"/>
        <v>Hakl Martin</v>
      </c>
      <c r="L13" s="117">
        <f t="shared" si="5"/>
        <v>11</v>
      </c>
      <c r="M13" s="117">
        <f t="shared" si="6"/>
        <v>5</v>
      </c>
      <c r="N13" s="117">
        <f t="shared" si="7"/>
        <v>0</v>
      </c>
      <c r="O13" s="117">
        <f t="shared" si="8"/>
        <v>0</v>
      </c>
      <c r="P13" s="117">
        <f t="shared" si="9"/>
        <v>5</v>
      </c>
      <c r="Q13" s="117"/>
      <c r="R13" s="119" t="str">
        <f t="shared" si="10"/>
        <v>Hakl</v>
      </c>
      <c r="S13" s="119" t="str">
        <f t="shared" si="11"/>
        <v>Martin</v>
      </c>
      <c r="T13" s="117" t="str">
        <f t="shared" si="12"/>
        <v/>
      </c>
      <c r="U13" s="94">
        <f t="shared" si="13"/>
        <v>6</v>
      </c>
      <c r="V13" s="94">
        <f t="shared" si="14"/>
        <v>6</v>
      </c>
      <c r="W13" s="95" t="str">
        <f t="shared" si="15"/>
        <v>Martin</v>
      </c>
      <c r="Y13" s="117">
        <f t="shared" si="16"/>
        <v>19</v>
      </c>
      <c r="Z13" s="117">
        <f t="shared" si="17"/>
        <v>10</v>
      </c>
      <c r="AA13" s="112" t="str">
        <f t="shared" si="18"/>
        <v>Chrastava</v>
      </c>
      <c r="AB13" s="112"/>
      <c r="AC13" s="129">
        <v>11</v>
      </c>
      <c r="AD13" s="130" t="str">
        <f t="shared" si="19"/>
        <v>Martin Hakl</v>
      </c>
      <c r="AE13" s="130" t="str">
        <f t="shared" si="58"/>
        <v>Martin Hakl</v>
      </c>
      <c r="AF13" s="130" t="str">
        <f t="shared" si="21"/>
        <v>Chrastava</v>
      </c>
      <c r="AG13" s="131">
        <f t="shared" si="22"/>
        <v>111809845</v>
      </c>
      <c r="AH13" s="132" t="str">
        <f t="shared" si="23"/>
        <v>4AZ 4522</v>
      </c>
      <c r="AJ13" s="117">
        <f t="shared" si="57"/>
        <v>11</v>
      </c>
      <c r="AL13" s="112" t="str">
        <f>IF(([1]Soutěž!$B50)="","",([1]Soutěž!$B50))</f>
        <v>Petr Skalický</v>
      </c>
      <c r="AM13" s="117">
        <f t="shared" si="24"/>
        <v>13</v>
      </c>
      <c r="AN13" s="117">
        <f t="shared" si="25"/>
        <v>5</v>
      </c>
      <c r="AO13" s="117">
        <f t="shared" si="26"/>
        <v>0</v>
      </c>
      <c r="AP13" s="117">
        <f t="shared" si="27"/>
        <v>0</v>
      </c>
      <c r="AQ13" s="117">
        <f t="shared" si="28"/>
        <v>5</v>
      </c>
      <c r="AR13" s="119" t="str">
        <f t="shared" si="29"/>
        <v>Skalický</v>
      </c>
      <c r="AS13" s="117">
        <f t="shared" si="30"/>
        <v>8</v>
      </c>
      <c r="AT13" s="117">
        <f t="shared" si="31"/>
        <v>0</v>
      </c>
      <c r="AU13" s="117">
        <f t="shared" si="32"/>
        <v>0</v>
      </c>
      <c r="AV13" s="117">
        <f t="shared" si="33"/>
        <v>0</v>
      </c>
      <c r="AW13" s="117">
        <f t="shared" si="34"/>
        <v>0</v>
      </c>
      <c r="AX13" s="119" t="str">
        <f t="shared" si="35"/>
        <v>Skalický</v>
      </c>
      <c r="AY13" s="117">
        <f t="shared" si="36"/>
        <v>8</v>
      </c>
      <c r="AZ13" s="117">
        <f t="shared" si="37"/>
        <v>0</v>
      </c>
      <c r="BA13" s="119" t="str">
        <f>IF(AZ13=0,(IF(AL13="","",(MID(AL13,6,AM13-4)))),(IF(AL13="","",(MID(AL13,1,AM13-5)))))</f>
        <v>Skalický</v>
      </c>
      <c r="BB13" s="117">
        <f t="shared" si="39"/>
        <v>8</v>
      </c>
      <c r="BC13" s="112"/>
      <c r="BD13" s="117">
        <f t="shared" si="40"/>
        <v>11</v>
      </c>
      <c r="BE13" s="117">
        <f t="shared" si="41"/>
        <v>15</v>
      </c>
      <c r="BG13" s="112" t="str">
        <f t="shared" si="42"/>
        <v/>
      </c>
      <c r="BH13" s="112" t="str">
        <f t="shared" si="43"/>
        <v>Aleš Nový</v>
      </c>
      <c r="BI13" s="117">
        <f t="shared" si="44"/>
        <v>9</v>
      </c>
      <c r="BJ13" s="112" t="str">
        <f t="shared" si="45"/>
        <v>Aleš Nový</v>
      </c>
      <c r="BK13" s="112" t="str">
        <f t="shared" si="46"/>
        <v>Aleš Nový</v>
      </c>
      <c r="BL13" s="117">
        <f t="shared" si="47"/>
        <v>9</v>
      </c>
      <c r="BM13" s="117">
        <f t="shared" si="48"/>
        <v>32</v>
      </c>
      <c r="BN13" s="117">
        <f t="shared" si="49"/>
        <v>1</v>
      </c>
      <c r="BP13" s="112" t="str">
        <f t="shared" si="1"/>
        <v/>
      </c>
      <c r="BQ13" s="112" t="str">
        <f t="shared" si="50"/>
        <v>Aleš Nový</v>
      </c>
      <c r="BR13" s="117">
        <f t="shared" si="51"/>
        <v>105333952</v>
      </c>
      <c r="BS13" s="112" t="str">
        <f t="shared" si="52"/>
        <v>Mladá Boleslav</v>
      </c>
      <c r="BT13" s="112" t="str">
        <f t="shared" si="53"/>
        <v>AUV</v>
      </c>
      <c r="BU13" s="112" t="str">
        <f t="shared" si="54"/>
        <v>1SH 7203</v>
      </c>
      <c r="BY13" s="117">
        <f t="shared" si="55"/>
        <v>0</v>
      </c>
      <c r="BZ13" s="117" t="str">
        <f>IF(Výplata!D16="","",Výplata!D16)</f>
        <v/>
      </c>
    </row>
    <row r="14" spans="1:78" x14ac:dyDescent="0.25">
      <c r="A14" s="117">
        <f t="shared" si="56"/>
        <v>12</v>
      </c>
      <c r="B14" s="113" t="s">
        <v>64</v>
      </c>
      <c r="C14" s="21">
        <v>113206851</v>
      </c>
      <c r="D14" s="113" t="s">
        <v>145</v>
      </c>
      <c r="E14" s="113" t="s">
        <v>65</v>
      </c>
      <c r="F14" s="21">
        <v>2</v>
      </c>
      <c r="G14" s="113">
        <v>602490837</v>
      </c>
      <c r="I14" s="117">
        <f t="shared" si="2"/>
        <v>0</v>
      </c>
      <c r="J14" s="117">
        <f t="shared" si="3"/>
        <v>12</v>
      </c>
      <c r="K14" s="119" t="str">
        <f t="shared" si="4"/>
        <v>Hampl Rudolf</v>
      </c>
      <c r="L14" s="117">
        <f t="shared" si="5"/>
        <v>12</v>
      </c>
      <c r="M14" s="117">
        <f t="shared" si="6"/>
        <v>6</v>
      </c>
      <c r="N14" s="117">
        <f t="shared" si="7"/>
        <v>0</v>
      </c>
      <c r="O14" s="117">
        <f t="shared" si="8"/>
        <v>0</v>
      </c>
      <c r="P14" s="117">
        <f t="shared" si="9"/>
        <v>6</v>
      </c>
      <c r="Q14" s="117"/>
      <c r="R14" s="119" t="str">
        <f t="shared" si="10"/>
        <v>Hampl</v>
      </c>
      <c r="S14" s="119" t="str">
        <f t="shared" si="11"/>
        <v>Rudolf</v>
      </c>
      <c r="T14" s="117" t="str">
        <f t="shared" si="12"/>
        <v/>
      </c>
      <c r="U14" s="94">
        <f t="shared" si="13"/>
        <v>6</v>
      </c>
      <c r="V14" s="94">
        <f t="shared" si="14"/>
        <v>6</v>
      </c>
      <c r="W14" s="95" t="str">
        <f t="shared" si="15"/>
        <v>Rudolf</v>
      </c>
      <c r="Y14" s="117">
        <f t="shared" si="16"/>
        <v>26</v>
      </c>
      <c r="Z14" s="117">
        <f t="shared" si="17"/>
        <v>10</v>
      </c>
      <c r="AA14" s="112" t="str">
        <f t="shared" si="18"/>
        <v>Mariánská</v>
      </c>
      <c r="AB14" s="112"/>
      <c r="AC14" s="129">
        <v>12</v>
      </c>
      <c r="AD14" s="130" t="str">
        <f t="shared" si="19"/>
        <v>Rudolf Hampl</v>
      </c>
      <c r="AE14" s="130" t="str">
        <f t="shared" si="58"/>
        <v>Rudolf Hampl</v>
      </c>
      <c r="AF14" s="130" t="str">
        <f t="shared" si="21"/>
        <v>Mariánská</v>
      </c>
      <c r="AG14" s="131">
        <f t="shared" si="22"/>
        <v>113206851</v>
      </c>
      <c r="AH14" s="132" t="str">
        <f t="shared" si="23"/>
        <v>2U0 1769</v>
      </c>
      <c r="AJ14" s="117">
        <f t="shared" si="57"/>
        <v>12</v>
      </c>
      <c r="AL14" s="112" t="str">
        <f>IF(([1]Soutěž!$B51)="","",([1]Soutěž!$B51))</f>
        <v>František Maňásek</v>
      </c>
      <c r="AM14" s="117">
        <f t="shared" si="24"/>
        <v>17</v>
      </c>
      <c r="AN14" s="117">
        <f t="shared" si="25"/>
        <v>0</v>
      </c>
      <c r="AO14" s="117">
        <f t="shared" si="26"/>
        <v>10</v>
      </c>
      <c r="AP14" s="117">
        <f t="shared" si="27"/>
        <v>0</v>
      </c>
      <c r="AQ14" s="117">
        <f t="shared" si="28"/>
        <v>10</v>
      </c>
      <c r="AR14" s="119" t="str">
        <f t="shared" si="29"/>
        <v>Maňásek</v>
      </c>
      <c r="AS14" s="117">
        <f t="shared" si="30"/>
        <v>7</v>
      </c>
      <c r="AT14" s="117">
        <f t="shared" si="31"/>
        <v>0</v>
      </c>
      <c r="AU14" s="117">
        <f t="shared" si="32"/>
        <v>0</v>
      </c>
      <c r="AV14" s="117">
        <f t="shared" si="33"/>
        <v>0</v>
      </c>
      <c r="AW14" s="117">
        <f t="shared" si="34"/>
        <v>0</v>
      </c>
      <c r="AX14" s="119" t="str">
        <f t="shared" si="35"/>
        <v>Maňásek</v>
      </c>
      <c r="AY14" s="117">
        <f t="shared" si="36"/>
        <v>7</v>
      </c>
      <c r="AZ14" s="117">
        <f t="shared" si="37"/>
        <v>0</v>
      </c>
      <c r="BA14" s="119" t="str">
        <f t="shared" si="38"/>
        <v>išek Maňásek</v>
      </c>
      <c r="BB14" s="117">
        <f t="shared" si="39"/>
        <v>12</v>
      </c>
      <c r="BC14" s="112"/>
      <c r="BD14" s="117">
        <f t="shared" si="40"/>
        <v>12</v>
      </c>
      <c r="BE14" s="117">
        <f t="shared" si="41"/>
        <v>16</v>
      </c>
      <c r="BG14" s="112" t="str">
        <f t="shared" si="42"/>
        <v/>
      </c>
      <c r="BH14" s="112" t="str">
        <f t="shared" si="43"/>
        <v>Jiří Soukup</v>
      </c>
      <c r="BI14" s="117">
        <f t="shared" si="44"/>
        <v>11</v>
      </c>
      <c r="BJ14" s="112" t="str">
        <f t="shared" si="45"/>
        <v>Jiří Soukup</v>
      </c>
      <c r="BK14" s="112" t="str">
        <f t="shared" si="46"/>
        <v>Jiří Soukup</v>
      </c>
      <c r="BL14" s="117">
        <f t="shared" si="47"/>
        <v>11</v>
      </c>
      <c r="BM14" s="117">
        <f t="shared" si="48"/>
        <v>43</v>
      </c>
      <c r="BN14" s="117">
        <f t="shared" si="49"/>
        <v>1</v>
      </c>
      <c r="BP14" s="112" t="str">
        <f t="shared" si="1"/>
        <v/>
      </c>
      <c r="BQ14" s="112" t="str">
        <f t="shared" si="50"/>
        <v>Jiří Soukup</v>
      </c>
      <c r="BR14" s="117">
        <f t="shared" si="51"/>
        <v>109388248</v>
      </c>
      <c r="BS14" s="112" t="str">
        <f t="shared" si="52"/>
        <v>Kostelec nad Labem</v>
      </c>
      <c r="BT14" s="112" t="str">
        <f t="shared" si="53"/>
        <v>AUV</v>
      </c>
      <c r="BU14" s="112" t="str">
        <f t="shared" si="54"/>
        <v>1S7 9729</v>
      </c>
      <c r="BY14" s="117">
        <f t="shared" si="55"/>
        <v>0</v>
      </c>
      <c r="BZ14" s="117" t="str">
        <f>IF(Výplata!D17="","",Výplata!D17)</f>
        <v/>
      </c>
    </row>
    <row r="15" spans="1:78" x14ac:dyDescent="0.25">
      <c r="A15" s="117">
        <f t="shared" si="56"/>
        <v>13</v>
      </c>
      <c r="B15" s="113" t="s">
        <v>66</v>
      </c>
      <c r="C15" s="21">
        <v>112353101</v>
      </c>
      <c r="D15" s="113" t="s">
        <v>146</v>
      </c>
      <c r="E15" s="113" t="s">
        <v>67</v>
      </c>
      <c r="F15" s="21">
        <v>3</v>
      </c>
      <c r="G15" s="113">
        <v>777745351</v>
      </c>
      <c r="I15" s="117">
        <f t="shared" si="2"/>
        <v>0</v>
      </c>
      <c r="J15" s="117">
        <f t="shared" si="3"/>
        <v>13</v>
      </c>
      <c r="K15" s="119" t="str">
        <f t="shared" si="4"/>
        <v>Herink Zdeněk</v>
      </c>
      <c r="L15" s="117">
        <f t="shared" si="5"/>
        <v>13</v>
      </c>
      <c r="M15" s="117">
        <f t="shared" si="6"/>
        <v>7</v>
      </c>
      <c r="N15" s="117">
        <f t="shared" si="7"/>
        <v>0</v>
      </c>
      <c r="O15" s="117">
        <f t="shared" si="8"/>
        <v>0</v>
      </c>
      <c r="P15" s="117">
        <f t="shared" si="9"/>
        <v>7</v>
      </c>
      <c r="Q15" s="117"/>
      <c r="R15" s="119" t="str">
        <f t="shared" si="10"/>
        <v>Herink</v>
      </c>
      <c r="S15" s="119" t="str">
        <f t="shared" si="11"/>
        <v>Zdeněk</v>
      </c>
      <c r="T15" s="117" t="str">
        <f t="shared" si="12"/>
        <v/>
      </c>
      <c r="U15" s="94">
        <f t="shared" si="13"/>
        <v>6</v>
      </c>
      <c r="V15" s="94">
        <f t="shared" si="14"/>
        <v>6</v>
      </c>
      <c r="W15" s="95" t="str">
        <f t="shared" si="15"/>
        <v>Zdeněk</v>
      </c>
      <c r="Y15" s="117">
        <f t="shared" si="16"/>
        <v>25</v>
      </c>
      <c r="Z15" s="117">
        <f t="shared" si="17"/>
        <v>9</v>
      </c>
      <c r="AA15" s="112" t="str">
        <f t="shared" si="18"/>
        <v>Litvínov</v>
      </c>
      <c r="AB15" s="112"/>
      <c r="AC15" s="129">
        <v>13</v>
      </c>
      <c r="AD15" s="130" t="str">
        <f t="shared" si="19"/>
        <v>Zdeněk Herink</v>
      </c>
      <c r="AE15" s="130" t="str">
        <f t="shared" si="58"/>
        <v>Zdeněk Herink</v>
      </c>
      <c r="AF15" s="130" t="str">
        <f t="shared" si="21"/>
        <v>Litvínov</v>
      </c>
      <c r="AG15" s="131">
        <f t="shared" si="22"/>
        <v>112353101</v>
      </c>
      <c r="AH15" s="132" t="str">
        <f t="shared" si="23"/>
        <v>2P6 0808</v>
      </c>
      <c r="AJ15" s="117">
        <f t="shared" si="57"/>
        <v>13</v>
      </c>
      <c r="AL15" s="112" t="str">
        <f>IF(([1]Soutěž!$B52)="","",([1]Soutěž!$B52))</f>
        <v>ing. Josef Školník</v>
      </c>
      <c r="AM15" s="117">
        <f t="shared" si="24"/>
        <v>18</v>
      </c>
      <c r="AN15" s="117">
        <f t="shared" si="25"/>
        <v>5</v>
      </c>
      <c r="AO15" s="117">
        <f t="shared" si="26"/>
        <v>11</v>
      </c>
      <c r="AP15" s="117">
        <f t="shared" si="27"/>
        <v>0</v>
      </c>
      <c r="AQ15" s="117">
        <f t="shared" si="28"/>
        <v>5</v>
      </c>
      <c r="AR15" s="119" t="str">
        <f t="shared" si="29"/>
        <v>Josef Školník</v>
      </c>
      <c r="AS15" s="117">
        <f t="shared" si="30"/>
        <v>13</v>
      </c>
      <c r="AT15" s="117">
        <f t="shared" si="31"/>
        <v>6</v>
      </c>
      <c r="AU15" s="117">
        <f t="shared" si="32"/>
        <v>0</v>
      </c>
      <c r="AV15" s="117">
        <f t="shared" si="33"/>
        <v>0</v>
      </c>
      <c r="AW15" s="117">
        <f t="shared" si="34"/>
        <v>6</v>
      </c>
      <c r="AX15" s="119" t="str">
        <f t="shared" si="35"/>
        <v>Školník</v>
      </c>
      <c r="AY15" s="117">
        <f t="shared" si="36"/>
        <v>7</v>
      </c>
      <c r="AZ15" s="117">
        <f t="shared" si="37"/>
        <v>0</v>
      </c>
      <c r="BA15" s="119" t="str">
        <f t="shared" si="38"/>
        <v>Josef Školník</v>
      </c>
      <c r="BB15" s="117">
        <f t="shared" si="39"/>
        <v>13</v>
      </c>
      <c r="BC15" s="112"/>
      <c r="BD15" s="117">
        <f t="shared" si="40"/>
        <v>13</v>
      </c>
      <c r="BE15" s="117">
        <f t="shared" si="41"/>
        <v>17</v>
      </c>
      <c r="BG15" s="112" t="str">
        <f t="shared" si="42"/>
        <v/>
      </c>
      <c r="BH15" s="112" t="str">
        <f t="shared" si="43"/>
        <v>Jiří Zachariáš</v>
      </c>
      <c r="BI15" s="117">
        <f t="shared" si="44"/>
        <v>14</v>
      </c>
      <c r="BJ15" s="112" t="str">
        <f t="shared" si="45"/>
        <v>Jiří Zachariáš</v>
      </c>
      <c r="BK15" s="112" t="str">
        <f t="shared" si="46"/>
        <v>Jiří Zachariáš</v>
      </c>
      <c r="BL15" s="117">
        <f t="shared" si="47"/>
        <v>14</v>
      </c>
      <c r="BM15" s="117">
        <f t="shared" si="48"/>
        <v>54</v>
      </c>
      <c r="BN15" s="117">
        <f t="shared" si="49"/>
        <v>1</v>
      </c>
      <c r="BP15" s="112" t="str">
        <f t="shared" si="1"/>
        <v/>
      </c>
      <c r="BQ15" s="112" t="str">
        <f t="shared" si="50"/>
        <v>Jiří Zachariáš</v>
      </c>
      <c r="BR15" s="117">
        <f t="shared" si="51"/>
        <v>110810129</v>
      </c>
      <c r="BS15" s="112" t="str">
        <f t="shared" si="52"/>
        <v>Havlíčkův Brod</v>
      </c>
      <c r="BT15" s="112" t="str">
        <f t="shared" si="53"/>
        <v>AUV</v>
      </c>
      <c r="BU15" s="112" t="str">
        <f t="shared" si="54"/>
        <v>2J9 2697</v>
      </c>
      <c r="BY15" s="117">
        <f t="shared" si="55"/>
        <v>0</v>
      </c>
      <c r="BZ15" s="117" t="str">
        <f>IF(Výplata!D18="","",Výplata!D18)</f>
        <v/>
      </c>
    </row>
    <row r="16" spans="1:78" x14ac:dyDescent="0.25">
      <c r="A16" s="117">
        <f t="shared" si="56"/>
        <v>14</v>
      </c>
      <c r="B16" s="113" t="s">
        <v>213</v>
      </c>
      <c r="C16" s="21"/>
      <c r="D16" s="113" t="s">
        <v>214</v>
      </c>
      <c r="E16" s="113"/>
      <c r="F16" s="21"/>
      <c r="G16" s="113"/>
      <c r="I16" s="117">
        <f t="shared" si="2"/>
        <v>0</v>
      </c>
      <c r="J16" s="117">
        <f t="shared" si="3"/>
        <v>15</v>
      </c>
      <c r="K16" s="119" t="str">
        <f t="shared" si="4"/>
        <v>Hložanka Martin</v>
      </c>
      <c r="L16" s="117">
        <f t="shared" si="5"/>
        <v>15</v>
      </c>
      <c r="M16" s="117">
        <f t="shared" si="6"/>
        <v>0</v>
      </c>
      <c r="N16" s="117">
        <f t="shared" si="7"/>
        <v>9</v>
      </c>
      <c r="O16" s="117">
        <f t="shared" si="8"/>
        <v>0</v>
      </c>
      <c r="P16" s="117">
        <f t="shared" si="9"/>
        <v>9</v>
      </c>
      <c r="Q16" s="117"/>
      <c r="R16" s="119" t="str">
        <f t="shared" si="10"/>
        <v>Hložanka</v>
      </c>
      <c r="S16" s="119" t="str">
        <f t="shared" si="11"/>
        <v>Martin</v>
      </c>
      <c r="T16" s="117" t="str">
        <f t="shared" si="12"/>
        <v/>
      </c>
      <c r="U16" s="94">
        <f t="shared" si="13"/>
        <v>6</v>
      </c>
      <c r="V16" s="94">
        <f t="shared" si="14"/>
        <v>6</v>
      </c>
      <c r="W16" s="95" t="str">
        <f t="shared" si="15"/>
        <v>Martin</v>
      </c>
      <c r="Y16" s="117">
        <f t="shared" si="16"/>
        <v>22</v>
      </c>
      <c r="Z16" s="117">
        <f t="shared" si="17"/>
        <v>8</v>
      </c>
      <c r="AA16" s="112" t="str">
        <f t="shared" si="18"/>
        <v>Ostrava</v>
      </c>
      <c r="AB16" s="112"/>
      <c r="AC16" s="129">
        <v>14</v>
      </c>
      <c r="AD16" s="130" t="str">
        <f t="shared" si="19"/>
        <v>Martin Hložanka</v>
      </c>
      <c r="AE16" s="130" t="str">
        <f t="shared" si="58"/>
        <v>Martin Hložanka</v>
      </c>
      <c r="AF16" s="130" t="str">
        <f t="shared" si="21"/>
        <v>Ostrava</v>
      </c>
      <c r="AG16" s="131" t="str">
        <f t="shared" si="22"/>
        <v/>
      </c>
      <c r="AH16" s="132" t="str">
        <f t="shared" si="23"/>
        <v/>
      </c>
      <c r="AJ16" s="117">
        <f t="shared" si="57"/>
        <v>14</v>
      </c>
      <c r="AL16" s="112" t="str">
        <f>IF(([1]Soutěž!$B53)="","",([1]Soutěž!$B53))</f>
        <v>Vladimír Komorný</v>
      </c>
      <c r="AM16" s="117">
        <f t="shared" si="24"/>
        <v>16</v>
      </c>
      <c r="AN16" s="117">
        <f t="shared" si="25"/>
        <v>0</v>
      </c>
      <c r="AO16" s="117">
        <f t="shared" si="26"/>
        <v>9</v>
      </c>
      <c r="AP16" s="117">
        <f t="shared" si="27"/>
        <v>0</v>
      </c>
      <c r="AQ16" s="117">
        <f t="shared" si="28"/>
        <v>9</v>
      </c>
      <c r="AR16" s="119" t="str">
        <f t="shared" si="29"/>
        <v>Komorný</v>
      </c>
      <c r="AS16" s="117">
        <f t="shared" si="30"/>
        <v>7</v>
      </c>
      <c r="AT16" s="117">
        <f t="shared" si="31"/>
        <v>0</v>
      </c>
      <c r="AU16" s="117">
        <f t="shared" si="32"/>
        <v>0</v>
      </c>
      <c r="AV16" s="117">
        <f t="shared" si="33"/>
        <v>0</v>
      </c>
      <c r="AW16" s="117">
        <f t="shared" si="34"/>
        <v>0</v>
      </c>
      <c r="AX16" s="119" t="str">
        <f t="shared" si="35"/>
        <v>Komorný</v>
      </c>
      <c r="AY16" s="117">
        <f t="shared" si="36"/>
        <v>7</v>
      </c>
      <c r="AZ16" s="117">
        <f t="shared" si="37"/>
        <v>0</v>
      </c>
      <c r="BA16" s="119" t="str">
        <f t="shared" si="38"/>
        <v>mír Komorný</v>
      </c>
      <c r="BB16" s="117">
        <f t="shared" si="39"/>
        <v>11</v>
      </c>
      <c r="BC16" s="112"/>
      <c r="BD16" s="117">
        <f t="shared" si="40"/>
        <v>14</v>
      </c>
      <c r="BE16" s="117">
        <f t="shared" si="41"/>
        <v>18</v>
      </c>
      <c r="BG16" s="112" t="str">
        <f t="shared" si="42"/>
        <v>Zást. SZČR:</v>
      </c>
      <c r="BH16" s="112" t="str">
        <f t="shared" si="43"/>
        <v>Belo Svitek</v>
      </c>
      <c r="BI16" s="117">
        <f t="shared" si="44"/>
        <v>11</v>
      </c>
      <c r="BJ16" s="112" t="str">
        <f t="shared" si="45"/>
        <v>Belo Svitek</v>
      </c>
      <c r="BK16" s="112" t="str">
        <f t="shared" si="46"/>
        <v>Belo Svitek</v>
      </c>
      <c r="BL16" s="117">
        <f t="shared" si="47"/>
        <v>11</v>
      </c>
      <c r="BM16" s="117">
        <f t="shared" ref="BM16:BM67" si="59">IF(BG16=$BO$1,98,(IF(BG16=$BM$1,98,(IF(BL16=0,99,(MATCH(BK16,$AE$3:$AE$102,0)))))))</f>
        <v>44</v>
      </c>
      <c r="BN16" s="117">
        <f t="shared" si="49"/>
        <v>1</v>
      </c>
      <c r="BP16" s="112" t="str">
        <f t="shared" si="1"/>
        <v>Zást. SZČR:</v>
      </c>
      <c r="BQ16" s="112" t="str">
        <f t="shared" si="50"/>
        <v>Belo Svitek</v>
      </c>
      <c r="BR16" s="117">
        <f t="shared" si="51"/>
        <v>201275192</v>
      </c>
      <c r="BS16" s="112" t="str">
        <f t="shared" si="52"/>
        <v>Teplice</v>
      </c>
      <c r="BT16" s="112" t="str">
        <f t="shared" si="53"/>
        <v>AUV</v>
      </c>
      <c r="BU16" s="112" t="str">
        <f t="shared" si="54"/>
        <v>2AT 3814</v>
      </c>
      <c r="BY16" s="117">
        <f t="shared" si="55"/>
        <v>0</v>
      </c>
      <c r="BZ16" s="117" t="str">
        <f>IF(Výplata!D19="","",Výplata!D19)</f>
        <v/>
      </c>
    </row>
    <row r="17" spans="1:73" x14ac:dyDescent="0.25">
      <c r="A17" s="117">
        <f t="shared" si="56"/>
        <v>15</v>
      </c>
      <c r="B17" s="113" t="s">
        <v>195</v>
      </c>
      <c r="C17" s="21">
        <v>200207425</v>
      </c>
      <c r="D17" s="113" t="s">
        <v>147</v>
      </c>
      <c r="E17" s="113" t="s">
        <v>34</v>
      </c>
      <c r="F17" s="21">
        <v>1</v>
      </c>
      <c r="G17" s="113">
        <v>602713274</v>
      </c>
      <c r="I17" s="117">
        <f t="shared" si="2"/>
        <v>1</v>
      </c>
      <c r="J17" s="117">
        <f t="shared" si="3"/>
        <v>19</v>
      </c>
      <c r="K17" s="119" t="str">
        <f t="shared" si="4"/>
        <v xml:space="preserve">Holuša Oldřich </v>
      </c>
      <c r="L17" s="117">
        <f t="shared" si="5"/>
        <v>15</v>
      </c>
      <c r="M17" s="117">
        <f t="shared" si="6"/>
        <v>7</v>
      </c>
      <c r="N17" s="117">
        <f t="shared" si="7"/>
        <v>15</v>
      </c>
      <c r="O17" s="117">
        <f t="shared" si="8"/>
        <v>0</v>
      </c>
      <c r="P17" s="117">
        <f t="shared" si="9"/>
        <v>7</v>
      </c>
      <c r="Q17" s="117"/>
      <c r="R17" s="119" t="str">
        <f t="shared" si="10"/>
        <v>Holuša</v>
      </c>
      <c r="S17" s="119" t="str">
        <f t="shared" si="11"/>
        <v xml:space="preserve">Oldřich </v>
      </c>
      <c r="T17" s="117" t="str">
        <f t="shared" si="12"/>
        <v>ing.</v>
      </c>
      <c r="U17" s="94">
        <f t="shared" si="13"/>
        <v>8</v>
      </c>
      <c r="V17" s="94">
        <f t="shared" si="14"/>
        <v>7</v>
      </c>
      <c r="W17" s="95" t="str">
        <f t="shared" si="15"/>
        <v>Oldřich</v>
      </c>
      <c r="Y17" s="117">
        <f t="shared" si="16"/>
        <v>26</v>
      </c>
      <c r="Z17" s="117">
        <f t="shared" si="17"/>
        <v>8</v>
      </c>
      <c r="AA17" s="112" t="str">
        <f t="shared" si="18"/>
        <v>Ostrava</v>
      </c>
      <c r="AB17" s="112"/>
      <c r="AC17" s="129">
        <v>15</v>
      </c>
      <c r="AD17" s="130" t="str">
        <f t="shared" si="19"/>
        <v>ing. Oldřich Holuša</v>
      </c>
      <c r="AE17" s="130" t="str">
        <f t="shared" si="58"/>
        <v>Oldřich Holuša</v>
      </c>
      <c r="AF17" s="130" t="str">
        <f t="shared" si="21"/>
        <v>Ostrava</v>
      </c>
      <c r="AG17" s="131">
        <f t="shared" si="22"/>
        <v>200207425</v>
      </c>
      <c r="AH17" s="132" t="str">
        <f t="shared" si="23"/>
        <v>4T8 8124</v>
      </c>
      <c r="AJ17" s="117">
        <f t="shared" si="57"/>
        <v>15</v>
      </c>
      <c r="AL17" s="112" t="str">
        <f>IF(([1]Soutěž!$B54)="","",([1]Soutěž!$B54))</f>
        <v>Aleš Nový</v>
      </c>
      <c r="AM17" s="117">
        <f t="shared" si="24"/>
        <v>9</v>
      </c>
      <c r="AN17" s="117">
        <f t="shared" si="25"/>
        <v>5</v>
      </c>
      <c r="AO17" s="117">
        <f t="shared" si="26"/>
        <v>0</v>
      </c>
      <c r="AP17" s="117">
        <f t="shared" si="27"/>
        <v>0</v>
      </c>
      <c r="AQ17" s="117">
        <f t="shared" si="28"/>
        <v>5</v>
      </c>
      <c r="AR17" s="119" t="str">
        <f t="shared" si="29"/>
        <v>Nový</v>
      </c>
      <c r="AS17" s="117">
        <f t="shared" si="30"/>
        <v>4</v>
      </c>
      <c r="AT17" s="117">
        <f t="shared" si="31"/>
        <v>0</v>
      </c>
      <c r="AU17" s="117">
        <f t="shared" si="32"/>
        <v>0</v>
      </c>
      <c r="AV17" s="117">
        <f t="shared" si="33"/>
        <v>0</v>
      </c>
      <c r="AW17" s="117">
        <f t="shared" si="34"/>
        <v>0</v>
      </c>
      <c r="AX17" s="119" t="str">
        <f t="shared" si="35"/>
        <v>Nový</v>
      </c>
      <c r="AY17" s="117">
        <f t="shared" si="36"/>
        <v>4</v>
      </c>
      <c r="AZ17" s="117">
        <f t="shared" si="37"/>
        <v>0</v>
      </c>
      <c r="BA17" s="119" t="str">
        <f t="shared" si="38"/>
        <v>Nový</v>
      </c>
      <c r="BB17" s="117">
        <f t="shared" si="39"/>
        <v>4</v>
      </c>
      <c r="BC17" s="112"/>
      <c r="BD17" s="117">
        <f t="shared" si="40"/>
        <v>15</v>
      </c>
      <c r="BE17" s="117">
        <f t="shared" si="41"/>
        <v>20</v>
      </c>
      <c r="BG17" s="112" t="str">
        <f t="shared" si="42"/>
        <v>Vyúčtoval:</v>
      </c>
      <c r="BH17" s="112" t="str">
        <f t="shared" si="43"/>
        <v>Belo Svitek</v>
      </c>
      <c r="BI17" s="117">
        <f t="shared" si="44"/>
        <v>11</v>
      </c>
      <c r="BJ17" s="112" t="str">
        <f t="shared" si="45"/>
        <v>Belo Svitek</v>
      </c>
      <c r="BK17" s="112" t="str">
        <f t="shared" si="46"/>
        <v>Belo Svitek</v>
      </c>
      <c r="BL17" s="117">
        <f t="shared" si="47"/>
        <v>11</v>
      </c>
      <c r="BM17" s="117">
        <f t="shared" si="59"/>
        <v>98</v>
      </c>
      <c r="BN17" s="117">
        <f t="shared" si="49"/>
        <v>1</v>
      </c>
      <c r="BP17" s="112" t="str">
        <f t="shared" si="1"/>
        <v>Vyúčtoval:</v>
      </c>
      <c r="BQ17" s="112" t="str">
        <f t="shared" si="50"/>
        <v>Belo Svitek</v>
      </c>
      <c r="BR17" s="117" t="str">
        <f t="shared" si="51"/>
        <v/>
      </c>
      <c r="BS17" s="112" t="str">
        <f t="shared" si="52"/>
        <v/>
      </c>
      <c r="BT17" s="112" t="str">
        <f t="shared" si="53"/>
        <v/>
      </c>
      <c r="BU17" s="112" t="str">
        <f t="shared" si="54"/>
        <v/>
      </c>
    </row>
    <row r="18" spans="1:73" x14ac:dyDescent="0.25">
      <c r="A18" s="117">
        <f t="shared" si="56"/>
        <v>16</v>
      </c>
      <c r="B18" s="113" t="s">
        <v>68</v>
      </c>
      <c r="C18" s="21">
        <v>200672969</v>
      </c>
      <c r="D18" s="113" t="s">
        <v>148</v>
      </c>
      <c r="E18" s="113" t="s">
        <v>69</v>
      </c>
      <c r="F18" s="21"/>
      <c r="G18" s="113">
        <v>721303480</v>
      </c>
      <c r="I18" s="117">
        <f t="shared" si="2"/>
        <v>0</v>
      </c>
      <c r="J18" s="117">
        <f t="shared" si="3"/>
        <v>9</v>
      </c>
      <c r="K18" s="119" t="str">
        <f t="shared" si="4"/>
        <v>Janda Jan</v>
      </c>
      <c r="L18" s="117">
        <f t="shared" si="5"/>
        <v>9</v>
      </c>
      <c r="M18" s="117">
        <f t="shared" si="6"/>
        <v>6</v>
      </c>
      <c r="N18" s="117">
        <f t="shared" si="7"/>
        <v>0</v>
      </c>
      <c r="O18" s="117">
        <f t="shared" si="8"/>
        <v>0</v>
      </c>
      <c r="P18" s="117">
        <f t="shared" si="9"/>
        <v>6</v>
      </c>
      <c r="Q18" s="117"/>
      <c r="R18" s="119" t="str">
        <f t="shared" si="10"/>
        <v>Janda</v>
      </c>
      <c r="S18" s="119" t="str">
        <f t="shared" si="11"/>
        <v>Jan</v>
      </c>
      <c r="T18" s="117" t="str">
        <f t="shared" si="12"/>
        <v/>
      </c>
      <c r="U18" s="94">
        <f t="shared" si="13"/>
        <v>3</v>
      </c>
      <c r="V18" s="94">
        <f t="shared" si="14"/>
        <v>3</v>
      </c>
      <c r="W18" s="95" t="str">
        <f t="shared" si="15"/>
        <v>Jan</v>
      </c>
      <c r="Y18" s="117">
        <f t="shared" si="16"/>
        <v>16</v>
      </c>
      <c r="Z18" s="117">
        <f t="shared" si="17"/>
        <v>15</v>
      </c>
      <c r="AA18" s="112" t="str">
        <f t="shared" si="18"/>
        <v>Havlíčkův Brod</v>
      </c>
      <c r="AB18" s="112"/>
      <c r="AC18" s="129">
        <v>16</v>
      </c>
      <c r="AD18" s="130" t="str">
        <f t="shared" si="19"/>
        <v>Jan Janda</v>
      </c>
      <c r="AE18" s="130" t="str">
        <f t="shared" si="58"/>
        <v>Jan Janda</v>
      </c>
      <c r="AF18" s="130" t="str">
        <f t="shared" si="21"/>
        <v>Havlíčkův Brod</v>
      </c>
      <c r="AG18" s="131">
        <f t="shared" si="22"/>
        <v>200672969</v>
      </c>
      <c r="AH18" s="132" t="str">
        <f t="shared" si="23"/>
        <v>2J8 3314</v>
      </c>
      <c r="AJ18" s="117">
        <f t="shared" si="57"/>
        <v>16</v>
      </c>
      <c r="AL18" s="112" t="str">
        <f>IF(([1]Soutěž!$B55)="","",([1]Soutěž!$B55))</f>
        <v>Jiří Soukup</v>
      </c>
      <c r="AM18" s="117">
        <f t="shared" si="24"/>
        <v>11</v>
      </c>
      <c r="AN18" s="117">
        <f t="shared" si="25"/>
        <v>5</v>
      </c>
      <c r="AO18" s="117">
        <f t="shared" si="26"/>
        <v>0</v>
      </c>
      <c r="AP18" s="117">
        <f t="shared" si="27"/>
        <v>0</v>
      </c>
      <c r="AQ18" s="117">
        <f t="shared" si="28"/>
        <v>5</v>
      </c>
      <c r="AR18" s="119" t="str">
        <f t="shared" si="29"/>
        <v>Soukup</v>
      </c>
      <c r="AS18" s="117">
        <f t="shared" si="30"/>
        <v>6</v>
      </c>
      <c r="AT18" s="117">
        <f t="shared" si="31"/>
        <v>0</v>
      </c>
      <c r="AU18" s="117">
        <f t="shared" si="32"/>
        <v>0</v>
      </c>
      <c r="AV18" s="117">
        <f t="shared" si="33"/>
        <v>0</v>
      </c>
      <c r="AW18" s="117">
        <f t="shared" si="34"/>
        <v>0</v>
      </c>
      <c r="AX18" s="119" t="str">
        <f t="shared" si="35"/>
        <v>Soukup</v>
      </c>
      <c r="AY18" s="117">
        <f t="shared" si="36"/>
        <v>6</v>
      </c>
      <c r="AZ18" s="117">
        <f t="shared" si="37"/>
        <v>0</v>
      </c>
      <c r="BA18" s="119" t="str">
        <f t="shared" si="38"/>
        <v>Soukup</v>
      </c>
      <c r="BB18" s="117">
        <f t="shared" si="39"/>
        <v>6</v>
      </c>
      <c r="BC18" s="112"/>
      <c r="BD18" s="117">
        <f t="shared" si="40"/>
        <v>16</v>
      </c>
      <c r="BE18" s="117">
        <f t="shared" si="41"/>
        <v>99</v>
      </c>
      <c r="BG18" s="112" t="str">
        <f t="shared" ref="BG18:BG19" si="60">IF(BE18=$BD$2,"",IF((INDEX($AK$3:$AK$21,BE18))="","",(INDEX($AK$3:$AK$21,BE18))))</f>
        <v/>
      </c>
      <c r="BH18" s="112" t="str">
        <f t="shared" ref="BH18:BH19" si="61">IF(BE18=$BD$2,"",(INDEX($AL$3:$AL$19,BE18)))</f>
        <v/>
      </c>
      <c r="BI18" s="112"/>
      <c r="BJ18" s="112" t="str">
        <f t="shared" si="45"/>
        <v/>
      </c>
      <c r="BK18" s="112" t="str">
        <f t="shared" ref="BK18:BK19" si="62">IF(BJ18="","",(IF((MID(BH18,1,4))=$BI$1,(MID(BH18,6,BI18-4)),IF((MID(BH18,1,4))=$BJ$1,(MID(BH18,6,BI18-4)),IF((MID(BH18,BI18-3,4))=$BK$1,(MID(BH18,6,BI18-5)),(MID(BH18,1,BI18)))))))</f>
        <v/>
      </c>
      <c r="BL18" s="117">
        <f t="shared" si="47"/>
        <v>0</v>
      </c>
      <c r="BM18" s="117">
        <f t="shared" si="59"/>
        <v>99</v>
      </c>
      <c r="BN18" s="117">
        <f t="shared" si="49"/>
        <v>1</v>
      </c>
      <c r="BP18" s="112" t="str">
        <f t="shared" si="1"/>
        <v/>
      </c>
      <c r="BQ18" s="112" t="str">
        <f t="shared" si="50"/>
        <v/>
      </c>
      <c r="BR18" s="117" t="str">
        <f t="shared" si="51"/>
        <v/>
      </c>
      <c r="BS18" s="112" t="str">
        <f t="shared" si="52"/>
        <v/>
      </c>
      <c r="BT18" s="112" t="str">
        <f t="shared" si="53"/>
        <v/>
      </c>
      <c r="BU18" s="112" t="str">
        <f t="shared" si="54"/>
        <v/>
      </c>
    </row>
    <row r="19" spans="1:73" x14ac:dyDescent="0.25">
      <c r="A19" s="117">
        <f t="shared" si="56"/>
        <v>17</v>
      </c>
      <c r="B19" s="113" t="s">
        <v>70</v>
      </c>
      <c r="C19" s="21">
        <v>201059806</v>
      </c>
      <c r="D19" s="113" t="s">
        <v>148</v>
      </c>
      <c r="E19" s="113" t="s">
        <v>71</v>
      </c>
      <c r="F19" s="21"/>
      <c r="G19" s="113">
        <v>607936531</v>
      </c>
      <c r="I19" s="117">
        <f t="shared" si="2"/>
        <v>0</v>
      </c>
      <c r="J19" s="117">
        <f t="shared" si="3"/>
        <v>10</v>
      </c>
      <c r="K19" s="119" t="str">
        <f t="shared" si="4"/>
        <v>Janda Petr</v>
      </c>
      <c r="L19" s="117">
        <f t="shared" si="5"/>
        <v>10</v>
      </c>
      <c r="M19" s="117">
        <f t="shared" si="6"/>
        <v>6</v>
      </c>
      <c r="N19" s="117">
        <f t="shared" si="7"/>
        <v>0</v>
      </c>
      <c r="O19" s="117">
        <f t="shared" si="8"/>
        <v>0</v>
      </c>
      <c r="P19" s="117">
        <f t="shared" si="9"/>
        <v>6</v>
      </c>
      <c r="Q19" s="117"/>
      <c r="R19" s="119" t="str">
        <f t="shared" si="10"/>
        <v>Janda</v>
      </c>
      <c r="S19" s="119" t="str">
        <f t="shared" si="11"/>
        <v>Petr</v>
      </c>
      <c r="T19" s="117" t="str">
        <f t="shared" si="12"/>
        <v/>
      </c>
      <c r="U19" s="94">
        <f t="shared" si="13"/>
        <v>4</v>
      </c>
      <c r="V19" s="94">
        <f t="shared" si="14"/>
        <v>4</v>
      </c>
      <c r="W19" s="95" t="str">
        <f t="shared" si="15"/>
        <v>Petr</v>
      </c>
      <c r="Y19" s="117">
        <f t="shared" si="16"/>
        <v>16</v>
      </c>
      <c r="Z19" s="117">
        <f t="shared" si="17"/>
        <v>15</v>
      </c>
      <c r="AA19" s="112" t="str">
        <f t="shared" si="18"/>
        <v>Havlíčkův Brod</v>
      </c>
      <c r="AB19" s="112"/>
      <c r="AC19" s="129">
        <v>17</v>
      </c>
      <c r="AD19" s="130" t="str">
        <f t="shared" si="19"/>
        <v>Petr Janda</v>
      </c>
      <c r="AE19" s="130" t="str">
        <f t="shared" si="58"/>
        <v>Petr Janda</v>
      </c>
      <c r="AF19" s="130" t="str">
        <f t="shared" si="21"/>
        <v>Havlíčkův Brod</v>
      </c>
      <c r="AG19" s="131">
        <f t="shared" si="22"/>
        <v>201059806</v>
      </c>
      <c r="AH19" s="132" t="str">
        <f t="shared" si="23"/>
        <v>4J75988</v>
      </c>
      <c r="AJ19" s="117">
        <f t="shared" si="57"/>
        <v>17</v>
      </c>
      <c r="AL19" s="112" t="str">
        <f>IF(([1]Soutěž!$B56)="","",([1]Soutěž!$B56))</f>
        <v>Jiří Zachariáš</v>
      </c>
      <c r="AM19" s="117">
        <f t="shared" si="24"/>
        <v>14</v>
      </c>
      <c r="AN19" s="117">
        <f t="shared" si="25"/>
        <v>5</v>
      </c>
      <c r="AO19" s="117">
        <f t="shared" si="26"/>
        <v>0</v>
      </c>
      <c r="AP19" s="117">
        <f t="shared" si="27"/>
        <v>0</v>
      </c>
      <c r="AQ19" s="117">
        <f t="shared" si="28"/>
        <v>5</v>
      </c>
      <c r="AR19" s="119" t="str">
        <f t="shared" si="29"/>
        <v>Zachariáš</v>
      </c>
      <c r="AS19" s="117">
        <f t="shared" si="30"/>
        <v>9</v>
      </c>
      <c r="AT19" s="117">
        <f t="shared" si="31"/>
        <v>0</v>
      </c>
      <c r="AU19" s="117">
        <f t="shared" si="32"/>
        <v>0</v>
      </c>
      <c r="AV19" s="117">
        <f t="shared" si="33"/>
        <v>0</v>
      </c>
      <c r="AW19" s="117">
        <f t="shared" si="34"/>
        <v>0</v>
      </c>
      <c r="AX19" s="119" t="str">
        <f t="shared" si="35"/>
        <v>Zachariáš</v>
      </c>
      <c r="AY19" s="135">
        <f t="shared" si="36"/>
        <v>9</v>
      </c>
      <c r="AZ19" s="135">
        <f t="shared" si="37"/>
        <v>0</v>
      </c>
      <c r="BA19" s="147" t="str">
        <f t="shared" ref="BA19" si="63">IF(AL19="","",(MID(AL19,6,AM19-4)))</f>
        <v>Zachariáš</v>
      </c>
      <c r="BB19" s="135">
        <f t="shared" si="39"/>
        <v>9</v>
      </c>
      <c r="BC19" s="134"/>
      <c r="BD19" s="135">
        <f t="shared" si="40"/>
        <v>17</v>
      </c>
      <c r="BE19" s="135">
        <f t="shared" si="41"/>
        <v>99</v>
      </c>
      <c r="BG19" s="112" t="str">
        <f t="shared" si="60"/>
        <v/>
      </c>
      <c r="BH19" s="112" t="str">
        <f t="shared" si="61"/>
        <v/>
      </c>
      <c r="BI19" s="112"/>
      <c r="BJ19" s="112" t="str">
        <f t="shared" si="45"/>
        <v/>
      </c>
      <c r="BK19" s="112" t="str">
        <f t="shared" si="62"/>
        <v/>
      </c>
      <c r="BL19" s="117">
        <f t="shared" si="47"/>
        <v>0</v>
      </c>
      <c r="BM19" s="117">
        <f t="shared" si="59"/>
        <v>99</v>
      </c>
      <c r="BN19" s="117">
        <f t="shared" si="49"/>
        <v>1</v>
      </c>
      <c r="BP19" s="112" t="str">
        <f t="shared" si="1"/>
        <v/>
      </c>
      <c r="BQ19" s="112" t="str">
        <f t="shared" si="50"/>
        <v/>
      </c>
      <c r="BR19" s="117" t="str">
        <f t="shared" si="51"/>
        <v/>
      </c>
      <c r="BS19" s="112" t="str">
        <f t="shared" si="52"/>
        <v/>
      </c>
      <c r="BT19" s="112" t="str">
        <f t="shared" si="53"/>
        <v/>
      </c>
      <c r="BU19" s="112" t="str">
        <f t="shared" si="54"/>
        <v/>
      </c>
    </row>
    <row r="20" spans="1:73" x14ac:dyDescent="0.25">
      <c r="A20" s="117">
        <f t="shared" si="56"/>
        <v>18</v>
      </c>
      <c r="B20" s="113" t="s">
        <v>210</v>
      </c>
      <c r="C20" s="21"/>
      <c r="D20" s="113" t="s">
        <v>211</v>
      </c>
      <c r="E20" s="113" t="s">
        <v>212</v>
      </c>
      <c r="F20" s="21">
        <v>3</v>
      </c>
      <c r="G20" s="113">
        <v>602767702</v>
      </c>
      <c r="I20" s="117">
        <f t="shared" si="2"/>
        <v>1</v>
      </c>
      <c r="J20" s="117">
        <f t="shared" si="3"/>
        <v>18</v>
      </c>
      <c r="K20" s="119" t="str">
        <f t="shared" si="4"/>
        <v xml:space="preserve">Juchelka Aleš </v>
      </c>
      <c r="L20" s="117">
        <f t="shared" si="5"/>
        <v>14</v>
      </c>
      <c r="M20" s="117">
        <f t="shared" si="6"/>
        <v>0</v>
      </c>
      <c r="N20" s="117">
        <f t="shared" si="7"/>
        <v>9</v>
      </c>
      <c r="O20" s="117">
        <f t="shared" si="8"/>
        <v>0</v>
      </c>
      <c r="P20" s="117">
        <f t="shared" si="9"/>
        <v>9</v>
      </c>
      <c r="Q20" s="117"/>
      <c r="R20" s="119" t="str">
        <f t="shared" si="10"/>
        <v>Juchelka</v>
      </c>
      <c r="S20" s="119" t="str">
        <f t="shared" si="11"/>
        <v xml:space="preserve">Aleš </v>
      </c>
      <c r="T20" s="117" t="str">
        <f t="shared" si="12"/>
        <v>ing.</v>
      </c>
      <c r="U20" s="94">
        <f t="shared" si="13"/>
        <v>5</v>
      </c>
      <c r="V20" s="94">
        <f t="shared" si="14"/>
        <v>4</v>
      </c>
      <c r="W20" s="95" t="str">
        <f t="shared" si="15"/>
        <v>Aleš</v>
      </c>
      <c r="Y20" s="117">
        <f t="shared" si="16"/>
        <v>9</v>
      </c>
      <c r="Z20" s="117">
        <f t="shared" si="17"/>
        <v>8</v>
      </c>
      <c r="AA20" s="112" t="str">
        <f t="shared" si="18"/>
        <v>Ostrava</v>
      </c>
      <c r="AB20" s="112"/>
      <c r="AC20" s="129">
        <v>18</v>
      </c>
      <c r="AD20" s="130" t="str">
        <f t="shared" si="19"/>
        <v>ing. Aleš Juchelka</v>
      </c>
      <c r="AE20" s="130" t="str">
        <f t="shared" si="58"/>
        <v>Aleš Juchelka</v>
      </c>
      <c r="AF20" s="130" t="str">
        <f t="shared" si="21"/>
        <v>Ostrava</v>
      </c>
      <c r="AG20" s="131" t="str">
        <f t="shared" si="22"/>
        <v/>
      </c>
      <c r="AH20" s="132" t="str">
        <f t="shared" si="23"/>
        <v>6T8 6307</v>
      </c>
      <c r="AJ20" s="117">
        <f t="shared" si="57"/>
        <v>18</v>
      </c>
      <c r="AK20" s="93" t="str">
        <f>IF(AN27=0,"",([1]Soutěž!$E$43))</f>
        <v>Zást. SZČR:</v>
      </c>
      <c r="AL20" s="112" t="str">
        <f>IF(AN27=0,"",([1]Soutěž!$G$43))</f>
        <v>Belo Svitek</v>
      </c>
      <c r="AM20" s="117">
        <f t="shared" si="24"/>
        <v>11</v>
      </c>
      <c r="AN20" s="117">
        <f t="shared" ref="AN20:AN21" si="64">IF((MID(AL20,1,1))=" ",1,IF((MID(AL20,2,1))=" ",2,IF((MID(AL20,3,1))=" ",3,IF((MID(AL20,4,1))=" ",4,IF((MID(AL20,5,1))=" ",5,IF((MID(AL20,6,1))=" ",6,IF((MID(AL20,7,1))=" ",7,IF((MID(AL20,8,1))=" ",8,0))))))))</f>
        <v>5</v>
      </c>
      <c r="AO20" s="117">
        <f t="shared" ref="AO20:AO21" si="65">IF((MID(AL20,9,1))=" ",9,IF((MID(AL20,10,1))=" ",10,IF((MID(AL20,11,1))=" ",11,IF((MID(AL20,12,1))=" ",12,IF((MID(AL20,13,1))=" ",13,IF((MID(AL20,14,1))=" ",14,IF((MID(AL20,15,1))=" ",15,IF((MID(AL20,16,1))=" ",16,0))))))))</f>
        <v>0</v>
      </c>
      <c r="AP20" s="117">
        <f t="shared" ref="AP20:AP21" si="66">IF((MID(AL20,17,1))=" ",17,IF((MID(AL20,18,1))=" ",18,IF((MID(AL20,19,1))=" ",19,IF((MID(AL20,20,1))=" ",20,IF((MID(AL20,21,1))=" ",21,IF((MID(AL20,22,1))=" ",22,IF((MID(AL20,23,1))=" ",23,IF((MID(AL20,24,1))=" ",24,0))))))))</f>
        <v>0</v>
      </c>
      <c r="AQ20" s="117">
        <f t="shared" ref="AQ20:AQ21" si="67">IF(AN20=0,IF(AO20=0,AP20,AO20),AN20)</f>
        <v>5</v>
      </c>
      <c r="AR20" s="112"/>
      <c r="AS20" s="117">
        <f t="shared" si="30"/>
        <v>0</v>
      </c>
      <c r="AT20" s="117">
        <f t="shared" ref="AT20:AT21" si="68">IF((MID(AR20,1,1))=" ",1,IF((MID(AR20,2,1))=" ",2,IF((MID(AR20,3,1))=" ",3,IF((MID(AR20,4,1))=" ",4,IF((MID(AR20,5,1))=" ",5,IF((MID(AR20,6,1))=" ",6,IF((MID(AR20,7,1))=" ",7,IF((MID(AR20,8,1))=" ",8,0))))))))</f>
        <v>0</v>
      </c>
      <c r="AU20" s="117">
        <f t="shared" ref="AU20:AU21" si="69">IF((MID(AR20,9,1))=" ",9,IF((MID(AR20,10,1))=" ",10,IF((MID(AR20,11,1))=" ",11,IF((MID(AR20,12,1))=" ",12,IF((MID(AR20,13,1))=" ",13,IF((MID(AR20,14,1))=" ",14,IF((MID(AR20,15,1))=" ",15,IF((MID(AR20,16,1))=" ",16,0))))))))</f>
        <v>0</v>
      </c>
      <c r="AV20" s="117">
        <f t="shared" ref="AV20:AV21" si="70">IF((MID(AR20,17,1))=" ",17,IF((MID(AR20,18,1))=" ",18,IF((MID(AR20,19,1))=" ",19,IF((MID(AR20,20,1))=" ",20,IF((MID(AR20,21,1))=" ",21,IF((MID(AR20,22,1))=" ",22,IF((MID(AR20,23,1))=" ",23,IF((MID(AR20,24,1))=" ",24,0))))))))</f>
        <v>0</v>
      </c>
      <c r="AW20" s="117">
        <f t="shared" ref="AW20:AW21" si="71">IF(AT20=0,IF(AU20=0,AV20,AU20),AT20)</f>
        <v>0</v>
      </c>
      <c r="AX20" s="119" t="str">
        <f t="shared" ref="AX20:AX21" si="72">MID(AR20,AW20+1,AS20-AW20)</f>
        <v/>
      </c>
      <c r="AY20" s="127">
        <f t="shared" si="36"/>
        <v>0</v>
      </c>
      <c r="AZ20" s="127">
        <f t="shared" ref="AZ20:AZ21" si="73">IF(AX20=$AZ$2,1,0)</f>
        <v>0</v>
      </c>
      <c r="BA20" s="148" t="str">
        <f>AL20</f>
        <v>Belo Svitek</v>
      </c>
      <c r="BB20" s="127">
        <f t="shared" si="39"/>
        <v>11</v>
      </c>
      <c r="BC20" s="126"/>
      <c r="BD20" s="127">
        <f t="shared" ref="BD20:BD21" si="74">IF(AL20="",$BD$2,AJ20)</f>
        <v>18</v>
      </c>
      <c r="BE20" s="127">
        <f t="shared" si="41"/>
        <v>99</v>
      </c>
      <c r="BJ20" s="112" t="str">
        <f t="shared" si="45"/>
        <v/>
      </c>
      <c r="BK20" s="112"/>
      <c r="BL20" s="117">
        <f t="shared" si="47"/>
        <v>0</v>
      </c>
      <c r="BM20" s="117">
        <f t="shared" si="59"/>
        <v>99</v>
      </c>
      <c r="BN20" s="117">
        <f t="shared" si="49"/>
        <v>1</v>
      </c>
      <c r="BP20" s="112"/>
      <c r="BQ20" s="112" t="str">
        <f t="shared" si="50"/>
        <v/>
      </c>
      <c r="BR20" s="117" t="str">
        <f t="shared" si="51"/>
        <v/>
      </c>
      <c r="BS20" s="112" t="str">
        <f t="shared" si="52"/>
        <v/>
      </c>
      <c r="BT20" s="112" t="str">
        <f t="shared" si="53"/>
        <v/>
      </c>
      <c r="BU20" s="112" t="str">
        <f t="shared" si="54"/>
        <v/>
      </c>
    </row>
    <row r="21" spans="1:73" x14ac:dyDescent="0.25">
      <c r="A21" s="117">
        <f t="shared" si="56"/>
        <v>19</v>
      </c>
      <c r="B21" s="113" t="s">
        <v>74</v>
      </c>
      <c r="C21" s="21">
        <v>104056649</v>
      </c>
      <c r="D21" s="113" t="s">
        <v>149</v>
      </c>
      <c r="E21" s="113" t="s">
        <v>234</v>
      </c>
      <c r="F21" s="21">
        <v>1</v>
      </c>
      <c r="G21" s="113">
        <v>602285485</v>
      </c>
      <c r="I21" s="117">
        <f t="shared" si="2"/>
        <v>0</v>
      </c>
      <c r="J21" s="117">
        <f t="shared" si="3"/>
        <v>16</v>
      </c>
      <c r="K21" s="119" t="str">
        <f t="shared" si="4"/>
        <v>Komorný Vladimír</v>
      </c>
      <c r="L21" s="117">
        <f t="shared" si="5"/>
        <v>16</v>
      </c>
      <c r="M21" s="117">
        <f t="shared" si="6"/>
        <v>8</v>
      </c>
      <c r="N21" s="117">
        <f t="shared" si="7"/>
        <v>0</v>
      </c>
      <c r="O21" s="117">
        <f t="shared" si="8"/>
        <v>0</v>
      </c>
      <c r="P21" s="117">
        <f t="shared" si="9"/>
        <v>8</v>
      </c>
      <c r="Q21" s="117"/>
      <c r="R21" s="119" t="str">
        <f t="shared" si="10"/>
        <v>Komorný</v>
      </c>
      <c r="S21" s="119" t="str">
        <f t="shared" si="11"/>
        <v>Vladimír</v>
      </c>
      <c r="T21" s="117" t="str">
        <f t="shared" si="12"/>
        <v/>
      </c>
      <c r="U21" s="94">
        <f t="shared" si="13"/>
        <v>8</v>
      </c>
      <c r="V21" s="94">
        <f t="shared" si="14"/>
        <v>8</v>
      </c>
      <c r="W21" s="95" t="str">
        <f t="shared" si="15"/>
        <v>Vladimír</v>
      </c>
      <c r="Y21" s="117">
        <f t="shared" si="16"/>
        <v>17</v>
      </c>
      <c r="Z21" s="117">
        <f t="shared" si="17"/>
        <v>8</v>
      </c>
      <c r="AA21" s="112" t="str">
        <f t="shared" si="18"/>
        <v>Hodonín</v>
      </c>
      <c r="AB21" s="112"/>
      <c r="AC21" s="129">
        <v>19</v>
      </c>
      <c r="AD21" s="130" t="str">
        <f t="shared" si="19"/>
        <v>Vladimír Komorný</v>
      </c>
      <c r="AE21" s="130" t="str">
        <f t="shared" si="58"/>
        <v>Vladimír Komorný</v>
      </c>
      <c r="AF21" s="130" t="str">
        <f t="shared" si="21"/>
        <v>Hodonín</v>
      </c>
      <c r="AG21" s="131">
        <f t="shared" si="22"/>
        <v>104056649</v>
      </c>
      <c r="AH21" s="132" t="str">
        <f t="shared" si="23"/>
        <v>8B5 0807</v>
      </c>
      <c r="AJ21" s="117">
        <f t="shared" si="57"/>
        <v>19</v>
      </c>
      <c r="AK21" s="93" t="str">
        <f>IF(AN26=0,"",([1]Soutěž!$E$41))</f>
        <v/>
      </c>
      <c r="AL21" s="112" t="str">
        <f>IF(AN26=0,"",([1]Soutěž!$G$41))</f>
        <v/>
      </c>
      <c r="AM21" s="117">
        <f t="shared" si="24"/>
        <v>0</v>
      </c>
      <c r="AN21" s="117">
        <f t="shared" si="64"/>
        <v>0</v>
      </c>
      <c r="AO21" s="117">
        <f t="shared" si="65"/>
        <v>0</v>
      </c>
      <c r="AP21" s="117">
        <f t="shared" si="66"/>
        <v>0</v>
      </c>
      <c r="AQ21" s="117">
        <f t="shared" si="67"/>
        <v>0</v>
      </c>
      <c r="AR21" s="112"/>
      <c r="AS21" s="117">
        <f t="shared" si="30"/>
        <v>0</v>
      </c>
      <c r="AT21" s="117">
        <f t="shared" si="68"/>
        <v>0</v>
      </c>
      <c r="AU21" s="117">
        <f t="shared" si="69"/>
        <v>0</v>
      </c>
      <c r="AV21" s="117">
        <f t="shared" si="70"/>
        <v>0</v>
      </c>
      <c r="AW21" s="117">
        <f t="shared" si="71"/>
        <v>0</v>
      </c>
      <c r="AX21" s="119" t="str">
        <f t="shared" si="72"/>
        <v/>
      </c>
      <c r="AY21" s="117">
        <f t="shared" si="36"/>
        <v>0</v>
      </c>
      <c r="AZ21" s="117">
        <f t="shared" si="73"/>
        <v>0</v>
      </c>
      <c r="BA21" s="119" t="str">
        <f>AL21</f>
        <v/>
      </c>
      <c r="BB21" s="117">
        <f t="shared" si="39"/>
        <v>0</v>
      </c>
      <c r="BC21" s="112"/>
      <c r="BD21" s="117">
        <f t="shared" si="74"/>
        <v>99</v>
      </c>
      <c r="BE21" s="117">
        <f t="shared" si="41"/>
        <v>99</v>
      </c>
      <c r="BM21" s="117">
        <f t="shared" si="59"/>
        <v>99</v>
      </c>
      <c r="BN21" s="117">
        <f t="shared" si="49"/>
        <v>1</v>
      </c>
      <c r="BQ21" s="112" t="str">
        <f t="shared" si="50"/>
        <v/>
      </c>
      <c r="BR21" s="117" t="str">
        <f t="shared" si="51"/>
        <v/>
      </c>
      <c r="BS21" s="112" t="str">
        <f t="shared" si="52"/>
        <v/>
      </c>
      <c r="BT21" s="112" t="str">
        <f t="shared" ref="BT21:BT23" si="75">IF(BM21=98,"",(IF(BZ21="",(IF(BM21=99,"",IF(BY21=0,"AUV","MHD"))),"xxx")))</f>
        <v/>
      </c>
      <c r="BU21" s="112" t="str">
        <f t="shared" si="54"/>
        <v/>
      </c>
    </row>
    <row r="22" spans="1:73" x14ac:dyDescent="0.25">
      <c r="A22" s="117">
        <f t="shared" si="56"/>
        <v>20</v>
      </c>
      <c r="B22" s="113" t="s">
        <v>75</v>
      </c>
      <c r="C22" s="21">
        <v>109727322</v>
      </c>
      <c r="D22" s="113" t="s">
        <v>150</v>
      </c>
      <c r="E22" s="113" t="s">
        <v>76</v>
      </c>
      <c r="F22" s="21"/>
      <c r="G22" s="113">
        <v>604947511</v>
      </c>
      <c r="I22" s="117">
        <f t="shared" si="2"/>
        <v>0</v>
      </c>
      <c r="J22" s="117">
        <f t="shared" si="3"/>
        <v>12</v>
      </c>
      <c r="K22" s="119" t="str">
        <f t="shared" si="4"/>
        <v>Kopřiva Adam</v>
      </c>
      <c r="L22" s="117">
        <f t="shared" si="5"/>
        <v>12</v>
      </c>
      <c r="M22" s="117">
        <f t="shared" si="6"/>
        <v>8</v>
      </c>
      <c r="N22" s="117">
        <f t="shared" si="7"/>
        <v>0</v>
      </c>
      <c r="O22" s="117">
        <f t="shared" si="8"/>
        <v>0</v>
      </c>
      <c r="P22" s="117">
        <f t="shared" si="9"/>
        <v>8</v>
      </c>
      <c r="Q22" s="117"/>
      <c r="R22" s="119" t="str">
        <f t="shared" si="10"/>
        <v>Kopřiva</v>
      </c>
      <c r="S22" s="119" t="str">
        <f t="shared" si="11"/>
        <v>Adam</v>
      </c>
      <c r="T22" s="117" t="str">
        <f t="shared" si="12"/>
        <v/>
      </c>
      <c r="U22" s="94">
        <f t="shared" si="13"/>
        <v>4</v>
      </c>
      <c r="V22" s="94">
        <f t="shared" si="14"/>
        <v>4</v>
      </c>
      <c r="W22" s="95" t="str">
        <f t="shared" si="15"/>
        <v>Adam</v>
      </c>
      <c r="Y22" s="117">
        <f t="shared" si="16"/>
        <v>26</v>
      </c>
      <c r="Z22" s="117">
        <f t="shared" si="17"/>
        <v>11</v>
      </c>
      <c r="AA22" s="112" t="str">
        <f t="shared" si="18"/>
        <v>Metylovice</v>
      </c>
      <c r="AB22" s="112"/>
      <c r="AC22" s="129">
        <v>20</v>
      </c>
      <c r="AD22" s="130" t="str">
        <f t="shared" si="19"/>
        <v>Adam Kopřiva</v>
      </c>
      <c r="AE22" s="130" t="str">
        <f t="shared" si="58"/>
        <v>Adam Kopřiva</v>
      </c>
      <c r="AF22" s="130" t="str">
        <f t="shared" si="21"/>
        <v>Metylovice</v>
      </c>
      <c r="AG22" s="131">
        <f t="shared" si="22"/>
        <v>109727322</v>
      </c>
      <c r="AH22" s="132" t="str">
        <f t="shared" si="23"/>
        <v>4T7 1243</v>
      </c>
      <c r="AJ22" s="117">
        <f t="shared" si="57"/>
        <v>20</v>
      </c>
      <c r="AK22" s="93" t="str">
        <f>IF(AN28=0,"",([1]Soutěž!$E$45))</f>
        <v>Vyúčtoval:</v>
      </c>
      <c r="AL22" s="112" t="str">
        <f>IF(AN28=0,"",([1]Soutěž!$G$45))</f>
        <v>Belo Svitek</v>
      </c>
      <c r="AM22" s="117">
        <f t="shared" si="24"/>
        <v>11</v>
      </c>
      <c r="AN22" s="117">
        <f t="shared" ref="AN22" si="76">IF((MID(AL22,1,1))=" ",1,IF((MID(AL22,2,1))=" ",2,IF((MID(AL22,3,1))=" ",3,IF((MID(AL22,4,1))=" ",4,IF((MID(AL22,5,1))=" ",5,IF((MID(AL22,6,1))=" ",6,IF((MID(AL22,7,1))=" ",7,IF((MID(AL22,8,1))=" ",8,0))))))))</f>
        <v>5</v>
      </c>
      <c r="AO22" s="117">
        <f t="shared" ref="AO22" si="77">IF((MID(AL22,9,1))=" ",9,IF((MID(AL22,10,1))=" ",10,IF((MID(AL22,11,1))=" ",11,IF((MID(AL22,12,1))=" ",12,IF((MID(AL22,13,1))=" ",13,IF((MID(AL22,14,1))=" ",14,IF((MID(AL22,15,1))=" ",15,IF((MID(AL22,16,1))=" ",16,0))))))))</f>
        <v>0</v>
      </c>
      <c r="AP22" s="117">
        <f t="shared" ref="AP22" si="78">IF((MID(AL22,17,1))=" ",17,IF((MID(AL22,18,1))=" ",18,IF((MID(AL22,19,1))=" ",19,IF((MID(AL22,20,1))=" ",20,IF((MID(AL22,21,1))=" ",21,IF((MID(AL22,22,1))=" ",22,IF((MID(AL22,23,1))=" ",23,IF((MID(AL22,24,1))=" ",24,0))))))))</f>
        <v>0</v>
      </c>
      <c r="AQ22" s="117">
        <f t="shared" ref="AQ22" si="79">IF(AN22=0,IF(AO22=0,AP22,AO22),AN22)</f>
        <v>5</v>
      </c>
      <c r="AR22" s="112"/>
      <c r="AS22" s="112"/>
      <c r="AT22" s="112"/>
      <c r="AU22" s="112"/>
      <c r="AV22" s="112"/>
      <c r="AW22" s="112"/>
      <c r="AX22" s="112"/>
      <c r="AY22" s="112"/>
      <c r="AZ22" s="112"/>
      <c r="BA22" s="119" t="str">
        <f t="shared" ref="BA22" si="80">AL22</f>
        <v>Belo Svitek</v>
      </c>
      <c r="BB22" s="117">
        <f t="shared" si="39"/>
        <v>11</v>
      </c>
      <c r="BC22" s="112"/>
      <c r="BD22" s="117">
        <f t="shared" ref="BD22" si="81">IF(AL22="",$BD$2,AJ22)</f>
        <v>20</v>
      </c>
      <c r="BE22" s="117">
        <f t="shared" si="41"/>
        <v>99</v>
      </c>
      <c r="BM22" s="117">
        <f t="shared" si="59"/>
        <v>99</v>
      </c>
      <c r="BN22" s="117">
        <f t="shared" si="49"/>
        <v>1</v>
      </c>
      <c r="BQ22" s="112" t="str">
        <f t="shared" si="50"/>
        <v/>
      </c>
      <c r="BR22" s="117" t="str">
        <f t="shared" si="51"/>
        <v/>
      </c>
      <c r="BS22" s="112" t="str">
        <f t="shared" si="52"/>
        <v/>
      </c>
      <c r="BT22" s="112" t="str">
        <f t="shared" si="75"/>
        <v/>
      </c>
      <c r="BU22" s="112" t="str">
        <f t="shared" si="54"/>
        <v/>
      </c>
    </row>
    <row r="23" spans="1:73" x14ac:dyDescent="0.25">
      <c r="A23" s="117">
        <f t="shared" si="56"/>
        <v>21</v>
      </c>
      <c r="B23" s="113" t="s">
        <v>72</v>
      </c>
      <c r="C23" s="21">
        <v>202554904</v>
      </c>
      <c r="D23" s="113" t="s">
        <v>73</v>
      </c>
      <c r="E23" s="113" t="s">
        <v>232</v>
      </c>
      <c r="F23" s="21">
        <v>1</v>
      </c>
      <c r="G23" s="113">
        <v>721223118</v>
      </c>
      <c r="I23" s="117">
        <f t="shared" si="2"/>
        <v>0</v>
      </c>
      <c r="J23" s="117">
        <f t="shared" si="3"/>
        <v>11</v>
      </c>
      <c r="K23" s="119" t="str">
        <f t="shared" si="4"/>
        <v>Kouřil Jiří</v>
      </c>
      <c r="L23" s="117">
        <f t="shared" si="5"/>
        <v>11</v>
      </c>
      <c r="M23" s="117">
        <f t="shared" si="6"/>
        <v>7</v>
      </c>
      <c r="N23" s="117">
        <f t="shared" si="7"/>
        <v>0</v>
      </c>
      <c r="O23" s="117">
        <f t="shared" si="8"/>
        <v>0</v>
      </c>
      <c r="P23" s="117">
        <f t="shared" si="9"/>
        <v>7</v>
      </c>
      <c r="Q23" s="117"/>
      <c r="R23" s="119" t="str">
        <f t="shared" si="10"/>
        <v>Kouřil</v>
      </c>
      <c r="S23" s="119" t="str">
        <f t="shared" si="11"/>
        <v>Jiří</v>
      </c>
      <c r="T23" s="117" t="str">
        <f t="shared" si="12"/>
        <v/>
      </c>
      <c r="U23" s="94">
        <f t="shared" si="13"/>
        <v>4</v>
      </c>
      <c r="V23" s="94">
        <f t="shared" si="14"/>
        <v>4</v>
      </c>
      <c r="W23" s="95" t="str">
        <f t="shared" si="15"/>
        <v>Jiří</v>
      </c>
      <c r="Y23" s="117">
        <f t="shared" si="16"/>
        <v>26</v>
      </c>
      <c r="Z23" s="117">
        <f t="shared" si="17"/>
        <v>11</v>
      </c>
      <c r="AA23" s="112" t="str">
        <f t="shared" si="18"/>
        <v>Strakonice</v>
      </c>
      <c r="AB23" s="112"/>
      <c r="AC23" s="129">
        <v>21</v>
      </c>
      <c r="AD23" s="130" t="str">
        <f t="shared" si="19"/>
        <v>Jiří Kouřil</v>
      </c>
      <c r="AE23" s="130" t="str">
        <f t="shared" si="58"/>
        <v>Jiří Kouřil</v>
      </c>
      <c r="AF23" s="130" t="str">
        <f t="shared" si="21"/>
        <v>Strakonice</v>
      </c>
      <c r="AG23" s="131">
        <f t="shared" si="22"/>
        <v>202554904</v>
      </c>
      <c r="AH23" s="132" t="str">
        <f t="shared" si="23"/>
        <v>6C1 5649</v>
      </c>
      <c r="BA23" s="119"/>
      <c r="BM23" s="117">
        <f t="shared" si="59"/>
        <v>99</v>
      </c>
      <c r="BN23" s="117">
        <f t="shared" si="49"/>
        <v>1</v>
      </c>
      <c r="BQ23" s="112" t="str">
        <f t="shared" si="50"/>
        <v/>
      </c>
      <c r="BR23" s="117" t="str">
        <f t="shared" si="51"/>
        <v/>
      </c>
      <c r="BS23" s="112" t="str">
        <f t="shared" si="52"/>
        <v/>
      </c>
      <c r="BT23" s="112" t="str">
        <f t="shared" si="75"/>
        <v/>
      </c>
      <c r="BU23" s="112" t="str">
        <f t="shared" si="54"/>
        <v/>
      </c>
    </row>
    <row r="24" spans="1:73" x14ac:dyDescent="0.25">
      <c r="A24" s="117">
        <f t="shared" si="56"/>
        <v>22</v>
      </c>
      <c r="B24" s="113" t="s">
        <v>77</v>
      </c>
      <c r="C24" s="21">
        <v>103696039</v>
      </c>
      <c r="D24" s="113" t="s">
        <v>151</v>
      </c>
      <c r="E24" s="113" t="s">
        <v>78</v>
      </c>
      <c r="F24" s="21">
        <v>1</v>
      </c>
      <c r="G24" s="113">
        <v>777939035</v>
      </c>
      <c r="I24" s="117">
        <f t="shared" si="2"/>
        <v>0</v>
      </c>
      <c r="J24" s="117">
        <f t="shared" si="3"/>
        <v>13</v>
      </c>
      <c r="K24" s="119" t="str">
        <f t="shared" si="4"/>
        <v>Koželuh Pavel</v>
      </c>
      <c r="L24" s="117">
        <f t="shared" si="5"/>
        <v>13</v>
      </c>
      <c r="M24" s="117">
        <f t="shared" si="6"/>
        <v>8</v>
      </c>
      <c r="N24" s="117">
        <f t="shared" si="7"/>
        <v>0</v>
      </c>
      <c r="O24" s="117">
        <f t="shared" si="8"/>
        <v>0</v>
      </c>
      <c r="P24" s="117">
        <f t="shared" si="9"/>
        <v>8</v>
      </c>
      <c r="Q24" s="117"/>
      <c r="R24" s="119" t="str">
        <f t="shared" si="10"/>
        <v>Koželuh</v>
      </c>
      <c r="S24" s="119" t="str">
        <f t="shared" si="11"/>
        <v>Pavel</v>
      </c>
      <c r="T24" s="117" t="str">
        <f t="shared" si="12"/>
        <v/>
      </c>
      <c r="U24" s="94">
        <f t="shared" si="13"/>
        <v>5</v>
      </c>
      <c r="V24" s="94">
        <f t="shared" si="14"/>
        <v>5</v>
      </c>
      <c r="W24" s="95" t="str">
        <f t="shared" si="15"/>
        <v>Pavel</v>
      </c>
      <c r="Y24" s="117">
        <f t="shared" si="16"/>
        <v>19</v>
      </c>
      <c r="Z24" s="117">
        <f t="shared" si="17"/>
        <v>8</v>
      </c>
      <c r="AA24" s="112" t="str">
        <f t="shared" si="18"/>
        <v>Teplice</v>
      </c>
      <c r="AB24" s="112"/>
      <c r="AC24" s="129">
        <v>22</v>
      </c>
      <c r="AD24" s="130" t="str">
        <f t="shared" si="19"/>
        <v>Pavel Koželuh</v>
      </c>
      <c r="AE24" s="130" t="str">
        <f t="shared" si="58"/>
        <v>Pavel Koželuh</v>
      </c>
      <c r="AF24" s="130" t="str">
        <f t="shared" si="21"/>
        <v>Teplice</v>
      </c>
      <c r="AG24" s="131">
        <f t="shared" si="22"/>
        <v>103696039</v>
      </c>
      <c r="AH24" s="132" t="str">
        <f t="shared" si="23"/>
        <v>5U4 2145</v>
      </c>
      <c r="BM24" s="117">
        <f t="shared" si="59"/>
        <v>99</v>
      </c>
      <c r="BN24" s="117">
        <f t="shared" si="49"/>
        <v>1</v>
      </c>
      <c r="BQ24" s="112" t="str">
        <f t="shared" si="50"/>
        <v/>
      </c>
      <c r="BR24" s="117" t="str">
        <f t="shared" si="51"/>
        <v/>
      </c>
      <c r="BS24" s="112" t="str">
        <f t="shared" si="52"/>
        <v/>
      </c>
      <c r="BU24" s="112" t="str">
        <f t="shared" si="54"/>
        <v/>
      </c>
    </row>
    <row r="25" spans="1:73" x14ac:dyDescent="0.25">
      <c r="A25" s="117">
        <f t="shared" si="56"/>
        <v>23</v>
      </c>
      <c r="B25" s="113" t="s">
        <v>79</v>
      </c>
      <c r="C25" s="21">
        <v>105643586</v>
      </c>
      <c r="D25" s="113" t="s">
        <v>152</v>
      </c>
      <c r="E25" s="113" t="s">
        <v>80</v>
      </c>
      <c r="F25" s="21">
        <v>1</v>
      </c>
      <c r="G25" s="113">
        <v>776196099</v>
      </c>
      <c r="I25" s="117">
        <f t="shared" si="2"/>
        <v>0</v>
      </c>
      <c r="J25" s="117">
        <f t="shared" si="3"/>
        <v>12</v>
      </c>
      <c r="K25" s="119" t="str">
        <f t="shared" si="4"/>
        <v>Křenek Robin</v>
      </c>
      <c r="L25" s="117">
        <f t="shared" si="5"/>
        <v>12</v>
      </c>
      <c r="M25" s="117">
        <f t="shared" si="6"/>
        <v>7</v>
      </c>
      <c r="N25" s="117">
        <f t="shared" si="7"/>
        <v>0</v>
      </c>
      <c r="O25" s="117">
        <f t="shared" si="8"/>
        <v>0</v>
      </c>
      <c r="P25" s="117">
        <f t="shared" si="9"/>
        <v>7</v>
      </c>
      <c r="Q25" s="117"/>
      <c r="R25" s="119" t="str">
        <f t="shared" si="10"/>
        <v>Křenek</v>
      </c>
      <c r="S25" s="119" t="str">
        <f t="shared" si="11"/>
        <v>Robin</v>
      </c>
      <c r="T25" s="117" t="str">
        <f t="shared" si="12"/>
        <v/>
      </c>
      <c r="U25" s="94">
        <f t="shared" si="13"/>
        <v>5</v>
      </c>
      <c r="V25" s="94">
        <f t="shared" si="14"/>
        <v>5</v>
      </c>
      <c r="W25" s="95" t="str">
        <f t="shared" si="15"/>
        <v>Robin</v>
      </c>
      <c r="Y25" s="117">
        <f t="shared" si="16"/>
        <v>21</v>
      </c>
      <c r="Z25" s="117">
        <f t="shared" si="17"/>
        <v>8</v>
      </c>
      <c r="AA25" s="112" t="str">
        <f t="shared" si="18"/>
        <v>Jihlava</v>
      </c>
      <c r="AB25" s="112"/>
      <c r="AC25" s="129">
        <v>23</v>
      </c>
      <c r="AD25" s="130" t="str">
        <f t="shared" si="19"/>
        <v>Robin Křenek</v>
      </c>
      <c r="AE25" s="130" t="str">
        <f t="shared" si="58"/>
        <v>Robin Křenek</v>
      </c>
      <c r="AF25" s="130" t="str">
        <f t="shared" si="21"/>
        <v>Jihlava</v>
      </c>
      <c r="AG25" s="131">
        <f t="shared" si="22"/>
        <v>105643586</v>
      </c>
      <c r="AH25" s="132" t="str">
        <f t="shared" si="23"/>
        <v>3J4 2075</v>
      </c>
      <c r="BM25" s="117">
        <f t="shared" si="59"/>
        <v>99</v>
      </c>
      <c r="BN25" s="117">
        <f t="shared" si="49"/>
        <v>1</v>
      </c>
      <c r="BQ25" s="112" t="str">
        <f t="shared" si="50"/>
        <v/>
      </c>
      <c r="BR25" s="117" t="str">
        <f t="shared" si="51"/>
        <v/>
      </c>
      <c r="BS25" s="112" t="str">
        <f t="shared" si="52"/>
        <v/>
      </c>
      <c r="BU25" s="112" t="str">
        <f t="shared" si="54"/>
        <v/>
      </c>
    </row>
    <row r="26" spans="1:73" x14ac:dyDescent="0.25">
      <c r="A26" s="117">
        <f t="shared" si="56"/>
        <v>24</v>
      </c>
      <c r="B26" s="113" t="s">
        <v>81</v>
      </c>
      <c r="C26" s="21">
        <v>103204359</v>
      </c>
      <c r="D26" s="113" t="s">
        <v>82</v>
      </c>
      <c r="E26" s="113"/>
      <c r="F26" s="21"/>
      <c r="G26" s="113">
        <v>737562751</v>
      </c>
      <c r="I26" s="117">
        <f t="shared" si="2"/>
        <v>0</v>
      </c>
      <c r="J26" s="117">
        <f t="shared" si="3"/>
        <v>13</v>
      </c>
      <c r="K26" s="119" t="str">
        <f t="shared" si="4"/>
        <v>Kubát Bohumil</v>
      </c>
      <c r="L26" s="117">
        <f t="shared" si="5"/>
        <v>13</v>
      </c>
      <c r="M26" s="117">
        <f t="shared" si="6"/>
        <v>6</v>
      </c>
      <c r="N26" s="117">
        <f t="shared" si="7"/>
        <v>0</v>
      </c>
      <c r="O26" s="117">
        <f t="shared" si="8"/>
        <v>0</v>
      </c>
      <c r="P26" s="117">
        <f t="shared" si="9"/>
        <v>6</v>
      </c>
      <c r="Q26" s="117"/>
      <c r="R26" s="119" t="str">
        <f t="shared" si="10"/>
        <v>Kubát</v>
      </c>
      <c r="S26" s="119" t="str">
        <f t="shared" si="11"/>
        <v>Bohumil</v>
      </c>
      <c r="T26" s="117" t="str">
        <f t="shared" si="12"/>
        <v/>
      </c>
      <c r="U26" s="94">
        <f t="shared" si="13"/>
        <v>7</v>
      </c>
      <c r="V26" s="94">
        <f t="shared" si="14"/>
        <v>7</v>
      </c>
      <c r="W26" s="95" t="str">
        <f t="shared" si="15"/>
        <v>Bohumil</v>
      </c>
      <c r="Y26" s="117">
        <f t="shared" si="16"/>
        <v>21</v>
      </c>
      <c r="Z26" s="117">
        <f t="shared" si="17"/>
        <v>9</v>
      </c>
      <c r="AA26" s="112" t="str">
        <f t="shared" si="18"/>
        <v>Chomutov</v>
      </c>
      <c r="AB26" s="112"/>
      <c r="AC26" s="129">
        <v>24</v>
      </c>
      <c r="AD26" s="130" t="str">
        <f t="shared" si="19"/>
        <v>Bohumil Kubát</v>
      </c>
      <c r="AE26" s="130" t="str">
        <f t="shared" si="58"/>
        <v>Bohumil Kubát</v>
      </c>
      <c r="AF26" s="130" t="str">
        <f t="shared" si="21"/>
        <v>Chomutov</v>
      </c>
      <c r="AG26" s="131">
        <f t="shared" si="22"/>
        <v>103204359</v>
      </c>
      <c r="AH26" s="132" t="str">
        <f t="shared" si="23"/>
        <v/>
      </c>
      <c r="AL26" s="93" t="str">
        <f>[1]Soutěž!$E$49</f>
        <v>Platit lékaře s rozhod.?</v>
      </c>
      <c r="AM26" s="93" t="str">
        <f>[1]Soutěž!$H$49</f>
        <v>NE</v>
      </c>
      <c r="AN26" s="94">
        <f>IF(AM26="ANO",1,0)</f>
        <v>0</v>
      </c>
      <c r="BM26" s="117">
        <f t="shared" si="59"/>
        <v>99</v>
      </c>
      <c r="BN26" s="117">
        <f t="shared" si="49"/>
        <v>1</v>
      </c>
      <c r="BQ26" s="112" t="str">
        <f t="shared" si="50"/>
        <v/>
      </c>
      <c r="BR26" s="117" t="str">
        <f t="shared" si="51"/>
        <v/>
      </c>
      <c r="BS26" s="112" t="str">
        <f t="shared" si="52"/>
        <v/>
      </c>
      <c r="BU26" s="112" t="str">
        <f t="shared" si="54"/>
        <v/>
      </c>
    </row>
    <row r="27" spans="1:73" x14ac:dyDescent="0.25">
      <c r="A27" s="117">
        <f t="shared" si="56"/>
        <v>25</v>
      </c>
      <c r="B27" s="113" t="s">
        <v>83</v>
      </c>
      <c r="C27" s="21">
        <v>109692497</v>
      </c>
      <c r="D27" s="113" t="s">
        <v>153</v>
      </c>
      <c r="E27" s="113" t="s">
        <v>84</v>
      </c>
      <c r="F27" s="21"/>
      <c r="G27" s="113">
        <v>728300751</v>
      </c>
      <c r="I27" s="117">
        <f t="shared" si="2"/>
        <v>0</v>
      </c>
      <c r="J27" s="117">
        <f t="shared" si="3"/>
        <v>14</v>
      </c>
      <c r="K27" s="119" t="str">
        <f t="shared" si="4"/>
        <v>Kučera Oldřich</v>
      </c>
      <c r="L27" s="117">
        <f t="shared" si="5"/>
        <v>14</v>
      </c>
      <c r="M27" s="117">
        <f t="shared" si="6"/>
        <v>7</v>
      </c>
      <c r="N27" s="117">
        <f t="shared" si="7"/>
        <v>0</v>
      </c>
      <c r="O27" s="117">
        <f t="shared" si="8"/>
        <v>0</v>
      </c>
      <c r="P27" s="117">
        <f t="shared" si="9"/>
        <v>7</v>
      </c>
      <c r="Q27" s="117"/>
      <c r="R27" s="119" t="str">
        <f t="shared" si="10"/>
        <v>Kučera</v>
      </c>
      <c r="S27" s="119" t="str">
        <f t="shared" si="11"/>
        <v>Oldřich</v>
      </c>
      <c r="T27" s="117" t="str">
        <f t="shared" si="12"/>
        <v/>
      </c>
      <c r="U27" s="94">
        <f t="shared" si="13"/>
        <v>7</v>
      </c>
      <c r="V27" s="94">
        <f t="shared" si="14"/>
        <v>7</v>
      </c>
      <c r="W27" s="95" t="str">
        <f t="shared" si="15"/>
        <v>Oldřich</v>
      </c>
      <c r="Y27" s="117">
        <f t="shared" si="16"/>
        <v>25</v>
      </c>
      <c r="Z27" s="117">
        <f t="shared" si="17"/>
        <v>8</v>
      </c>
      <c r="AA27" s="112" t="str">
        <f t="shared" si="18"/>
        <v>Hodonín</v>
      </c>
      <c r="AB27" s="112"/>
      <c r="AC27" s="129">
        <v>25</v>
      </c>
      <c r="AD27" s="130" t="str">
        <f t="shared" si="19"/>
        <v>Oldřich Kučera</v>
      </c>
      <c r="AE27" s="130" t="str">
        <f t="shared" si="58"/>
        <v>Oldřich Kučera</v>
      </c>
      <c r="AF27" s="130" t="str">
        <f t="shared" si="21"/>
        <v>Hodonín</v>
      </c>
      <c r="AG27" s="131">
        <f t="shared" si="22"/>
        <v>109692497</v>
      </c>
      <c r="AH27" s="132" t="str">
        <f t="shared" si="23"/>
        <v>Hoj 05-04</v>
      </c>
      <c r="AL27" s="93" t="str">
        <f>[1]Soutěž!$E$51</f>
        <v>Platit ZS s rozhodčími?</v>
      </c>
      <c r="AM27" s="93" t="str">
        <f>[1]Soutěž!$H$51</f>
        <v>ANO</v>
      </c>
      <c r="AN27" s="94">
        <f t="shared" ref="AN27:AN28" si="82">IF(AM27="ANO",1,0)</f>
        <v>1</v>
      </c>
      <c r="BM27" s="117">
        <f t="shared" si="59"/>
        <v>99</v>
      </c>
      <c r="BN27" s="117">
        <f t="shared" si="49"/>
        <v>1</v>
      </c>
      <c r="BQ27" s="112" t="str">
        <f t="shared" si="50"/>
        <v/>
      </c>
      <c r="BR27" s="117" t="str">
        <f t="shared" si="51"/>
        <v/>
      </c>
      <c r="BS27" s="112" t="str">
        <f t="shared" si="52"/>
        <v/>
      </c>
      <c r="BU27" s="112" t="str">
        <f t="shared" si="54"/>
        <v/>
      </c>
    </row>
    <row r="28" spans="1:73" x14ac:dyDescent="0.25">
      <c r="A28" s="117">
        <f t="shared" si="56"/>
        <v>26</v>
      </c>
      <c r="B28" s="113" t="s">
        <v>85</v>
      </c>
      <c r="C28" s="21">
        <v>105877774</v>
      </c>
      <c r="D28" s="113" t="s">
        <v>208</v>
      </c>
      <c r="E28" s="113" t="s">
        <v>86</v>
      </c>
      <c r="F28" s="21">
        <v>1</v>
      </c>
      <c r="G28" s="113">
        <v>739100170</v>
      </c>
      <c r="I28" s="117">
        <f t="shared" si="2"/>
        <v>0</v>
      </c>
      <c r="J28" s="117">
        <f t="shared" si="3"/>
        <v>16</v>
      </c>
      <c r="K28" s="119" t="str">
        <f t="shared" si="4"/>
        <v>Lagonikas Kostas</v>
      </c>
      <c r="L28" s="117">
        <f t="shared" si="5"/>
        <v>16</v>
      </c>
      <c r="M28" s="117">
        <f t="shared" si="6"/>
        <v>0</v>
      </c>
      <c r="N28" s="117">
        <f t="shared" si="7"/>
        <v>10</v>
      </c>
      <c r="O28" s="117">
        <f t="shared" si="8"/>
        <v>0</v>
      </c>
      <c r="P28" s="117">
        <f t="shared" si="9"/>
        <v>10</v>
      </c>
      <c r="Q28" s="117"/>
      <c r="R28" s="119" t="str">
        <f t="shared" si="10"/>
        <v>Lagonikas</v>
      </c>
      <c r="S28" s="119" t="str">
        <f t="shared" si="11"/>
        <v>Kostas</v>
      </c>
      <c r="T28" s="117" t="str">
        <f t="shared" si="12"/>
        <v/>
      </c>
      <c r="U28" s="94">
        <f t="shared" si="13"/>
        <v>6</v>
      </c>
      <c r="V28" s="94">
        <f t="shared" si="14"/>
        <v>6</v>
      </c>
      <c r="W28" s="95" t="str">
        <f t="shared" si="15"/>
        <v>Kostas</v>
      </c>
      <c r="Y28" s="117">
        <f t="shared" si="16"/>
        <v>26</v>
      </c>
      <c r="Z28" s="117">
        <f t="shared" si="17"/>
        <v>22</v>
      </c>
      <c r="AA28" s="112" t="str">
        <f t="shared" si="18"/>
        <v>Jindřichov ve Slezsku</v>
      </c>
      <c r="AB28" s="112"/>
      <c r="AC28" s="129">
        <v>26</v>
      </c>
      <c r="AD28" s="130" t="str">
        <f t="shared" si="19"/>
        <v>Kostas Lagonikas</v>
      </c>
      <c r="AE28" s="130" t="str">
        <f t="shared" si="58"/>
        <v>Kostas Lagonikas</v>
      </c>
      <c r="AF28" s="130" t="str">
        <f t="shared" si="21"/>
        <v>Jindřichov ve Slezsku</v>
      </c>
      <c r="AG28" s="131">
        <f t="shared" si="22"/>
        <v>105877774</v>
      </c>
      <c r="AH28" s="132" t="str">
        <f t="shared" si="23"/>
        <v>1T4 6695</v>
      </c>
      <c r="AL28" s="93" t="str">
        <f>[1]Soutěž!$E$53</f>
        <v>Platit účtaře s rozhod.?</v>
      </c>
      <c r="AM28" s="93" t="str">
        <f>[1]Soutěž!$H$53</f>
        <v>ANO</v>
      </c>
      <c r="AN28" s="94">
        <f t="shared" si="82"/>
        <v>1</v>
      </c>
      <c r="BM28" s="117">
        <f t="shared" si="59"/>
        <v>99</v>
      </c>
      <c r="BN28" s="117">
        <f t="shared" si="49"/>
        <v>1</v>
      </c>
      <c r="BS28" s="112" t="str">
        <f t="shared" si="52"/>
        <v/>
      </c>
    </row>
    <row r="29" spans="1:73" x14ac:dyDescent="0.25">
      <c r="A29" s="117">
        <f t="shared" si="56"/>
        <v>27</v>
      </c>
      <c r="B29" s="113" t="s">
        <v>87</v>
      </c>
      <c r="C29" s="21">
        <v>100376213</v>
      </c>
      <c r="D29" s="113" t="s">
        <v>154</v>
      </c>
      <c r="E29" s="113" t="s">
        <v>88</v>
      </c>
      <c r="F29" s="21">
        <v>1</v>
      </c>
      <c r="G29" s="113">
        <v>728357955</v>
      </c>
      <c r="I29" s="117">
        <f t="shared" si="2"/>
        <v>0</v>
      </c>
      <c r="J29" s="117">
        <f t="shared" si="3"/>
        <v>14</v>
      </c>
      <c r="K29" s="119" t="str">
        <f t="shared" si="4"/>
        <v>Mackuljak Emil</v>
      </c>
      <c r="L29" s="117">
        <f t="shared" si="5"/>
        <v>14</v>
      </c>
      <c r="M29" s="117">
        <f t="shared" si="6"/>
        <v>0</v>
      </c>
      <c r="N29" s="117">
        <f t="shared" si="7"/>
        <v>10</v>
      </c>
      <c r="O29" s="117">
        <f t="shared" si="8"/>
        <v>0</v>
      </c>
      <c r="P29" s="117">
        <f t="shared" si="9"/>
        <v>10</v>
      </c>
      <c r="Q29" s="117"/>
      <c r="R29" s="119" t="str">
        <f t="shared" si="10"/>
        <v>Mackuljak</v>
      </c>
      <c r="S29" s="119" t="str">
        <f t="shared" si="11"/>
        <v>Emil</v>
      </c>
      <c r="T29" s="117" t="str">
        <f t="shared" si="12"/>
        <v/>
      </c>
      <c r="U29" s="94">
        <f t="shared" si="13"/>
        <v>4</v>
      </c>
      <c r="V29" s="94">
        <f t="shared" si="14"/>
        <v>4</v>
      </c>
      <c r="W29" s="95" t="str">
        <f t="shared" si="15"/>
        <v>Emil</v>
      </c>
      <c r="Y29" s="117">
        <f t="shared" si="16"/>
        <v>24</v>
      </c>
      <c r="Z29" s="117">
        <f t="shared" si="17"/>
        <v>10</v>
      </c>
      <c r="AA29" s="112" t="str">
        <f t="shared" si="18"/>
        <v>Prostějov</v>
      </c>
      <c r="AB29" s="112"/>
      <c r="AC29" s="129">
        <v>27</v>
      </c>
      <c r="AD29" s="130" t="str">
        <f t="shared" si="19"/>
        <v>Emil Mackuljak</v>
      </c>
      <c r="AE29" s="130" t="str">
        <f t="shared" si="58"/>
        <v>Emil Mackuljak</v>
      </c>
      <c r="AF29" s="130" t="str">
        <f t="shared" si="21"/>
        <v>Prostějov</v>
      </c>
      <c r="AG29" s="131">
        <f t="shared" si="22"/>
        <v>100376213</v>
      </c>
      <c r="AH29" s="132" t="str">
        <f t="shared" si="23"/>
        <v>PVE 01-76</v>
      </c>
      <c r="BM29" s="117">
        <f t="shared" si="59"/>
        <v>99</v>
      </c>
      <c r="BN29" s="117">
        <f t="shared" si="49"/>
        <v>1</v>
      </c>
    </row>
    <row r="30" spans="1:73" x14ac:dyDescent="0.25">
      <c r="A30" s="117">
        <f t="shared" si="56"/>
        <v>28</v>
      </c>
      <c r="B30" s="113" t="s">
        <v>89</v>
      </c>
      <c r="C30" s="115">
        <v>109017360</v>
      </c>
      <c r="D30" s="113" t="s">
        <v>155</v>
      </c>
      <c r="E30" s="113" t="s">
        <v>233</v>
      </c>
      <c r="F30" s="21">
        <v>1</v>
      </c>
      <c r="G30" s="113">
        <v>776154223</v>
      </c>
      <c r="I30" s="117">
        <f t="shared" si="2"/>
        <v>0</v>
      </c>
      <c r="J30" s="117">
        <f t="shared" si="3"/>
        <v>17</v>
      </c>
      <c r="K30" s="119" t="str">
        <f t="shared" si="4"/>
        <v>Maňásek František</v>
      </c>
      <c r="L30" s="117">
        <f t="shared" si="5"/>
        <v>17</v>
      </c>
      <c r="M30" s="117">
        <f t="shared" si="6"/>
        <v>8</v>
      </c>
      <c r="N30" s="117">
        <f t="shared" si="7"/>
        <v>0</v>
      </c>
      <c r="O30" s="117">
        <f t="shared" si="8"/>
        <v>0</v>
      </c>
      <c r="P30" s="117">
        <f t="shared" si="9"/>
        <v>8</v>
      </c>
      <c r="Q30" s="117"/>
      <c r="R30" s="119" t="str">
        <f t="shared" si="10"/>
        <v>Maňásek</v>
      </c>
      <c r="S30" s="119" t="str">
        <f t="shared" si="11"/>
        <v>František</v>
      </c>
      <c r="T30" s="117" t="str">
        <f t="shared" si="12"/>
        <v/>
      </c>
      <c r="U30" s="94">
        <f t="shared" si="13"/>
        <v>9</v>
      </c>
      <c r="V30" s="94">
        <f t="shared" si="14"/>
        <v>9</v>
      </c>
      <c r="W30" s="95" t="str">
        <f t="shared" si="15"/>
        <v>František</v>
      </c>
      <c r="Y30" s="117">
        <f t="shared" si="16"/>
        <v>30</v>
      </c>
      <c r="Z30" s="117">
        <f t="shared" si="17"/>
        <v>15</v>
      </c>
      <c r="AA30" s="112" t="str">
        <f t="shared" si="18"/>
        <v>Svobodné Dvory</v>
      </c>
      <c r="AB30" s="112"/>
      <c r="AC30" s="129">
        <v>28</v>
      </c>
      <c r="AD30" s="130" t="str">
        <f t="shared" si="19"/>
        <v>František Maňásek</v>
      </c>
      <c r="AE30" s="130" t="str">
        <f t="shared" si="58"/>
        <v>František Maňásek</v>
      </c>
      <c r="AF30" s="130" t="str">
        <f t="shared" si="21"/>
        <v>Svobodné Dvory</v>
      </c>
      <c r="AG30" s="131">
        <f t="shared" si="22"/>
        <v>109017360</v>
      </c>
      <c r="AH30" s="132" t="str">
        <f t="shared" si="23"/>
        <v>6H3 3951</v>
      </c>
      <c r="BM30" s="117">
        <f t="shared" si="59"/>
        <v>99</v>
      </c>
      <c r="BN30" s="117">
        <f t="shared" si="49"/>
        <v>1</v>
      </c>
    </row>
    <row r="31" spans="1:73" x14ac:dyDescent="0.25">
      <c r="A31" s="117">
        <f t="shared" si="56"/>
        <v>29</v>
      </c>
      <c r="B31" s="113" t="s">
        <v>176</v>
      </c>
      <c r="C31" s="115"/>
      <c r="D31" s="113" t="s">
        <v>148</v>
      </c>
      <c r="E31" s="113"/>
      <c r="F31" s="21"/>
      <c r="G31" s="113">
        <v>721780420</v>
      </c>
      <c r="I31" s="117">
        <f t="shared" si="2"/>
        <v>0</v>
      </c>
      <c r="J31" s="117">
        <f t="shared" si="3"/>
        <v>16</v>
      </c>
      <c r="K31" s="119" t="str">
        <f t="shared" si="4"/>
        <v>Milichovský Jiří</v>
      </c>
      <c r="L31" s="117">
        <f t="shared" si="5"/>
        <v>16</v>
      </c>
      <c r="M31" s="117">
        <f t="shared" si="6"/>
        <v>0</v>
      </c>
      <c r="N31" s="117">
        <f t="shared" si="7"/>
        <v>12</v>
      </c>
      <c r="O31" s="117">
        <f t="shared" si="8"/>
        <v>0</v>
      </c>
      <c r="P31" s="117">
        <f t="shared" si="9"/>
        <v>12</v>
      </c>
      <c r="Q31" s="117"/>
      <c r="R31" s="119" t="str">
        <f t="shared" si="10"/>
        <v>Milichovský</v>
      </c>
      <c r="S31" s="119" t="str">
        <f t="shared" si="11"/>
        <v>Jiří</v>
      </c>
      <c r="T31" s="117" t="str">
        <f t="shared" si="12"/>
        <v/>
      </c>
      <c r="U31" s="94">
        <f t="shared" si="13"/>
        <v>4</v>
      </c>
      <c r="V31" s="94">
        <f t="shared" si="14"/>
        <v>4</v>
      </c>
      <c r="W31" s="95" t="str">
        <f t="shared" si="15"/>
        <v>Jiří</v>
      </c>
      <c r="Y31" s="117">
        <f t="shared" si="16"/>
        <v>16</v>
      </c>
      <c r="Z31" s="117">
        <f t="shared" si="17"/>
        <v>15</v>
      </c>
      <c r="AA31" s="112" t="str">
        <f t="shared" si="18"/>
        <v>Havlíčkův Brod</v>
      </c>
      <c r="AB31" s="112"/>
      <c r="AC31" s="129">
        <v>29</v>
      </c>
      <c r="AD31" s="130" t="str">
        <f t="shared" si="19"/>
        <v>Jiří Milichovský</v>
      </c>
      <c r="AE31" s="130" t="str">
        <f t="shared" si="58"/>
        <v>Jiří Milichovský</v>
      </c>
      <c r="AF31" s="130" t="str">
        <f t="shared" si="21"/>
        <v>Havlíčkův Brod</v>
      </c>
      <c r="AG31" s="131" t="str">
        <f t="shared" si="22"/>
        <v/>
      </c>
      <c r="AH31" s="132" t="str">
        <f t="shared" si="23"/>
        <v/>
      </c>
      <c r="BM31" s="117">
        <f t="shared" si="59"/>
        <v>99</v>
      </c>
      <c r="BN31" s="117">
        <f t="shared" si="49"/>
        <v>1</v>
      </c>
    </row>
    <row r="32" spans="1:73" x14ac:dyDescent="0.25">
      <c r="A32" s="117">
        <f t="shared" si="56"/>
        <v>30</v>
      </c>
      <c r="B32" s="113" t="s">
        <v>90</v>
      </c>
      <c r="C32" s="115">
        <v>115095779</v>
      </c>
      <c r="D32" s="113" t="s">
        <v>91</v>
      </c>
      <c r="E32" s="113" t="s">
        <v>92</v>
      </c>
      <c r="F32" s="21"/>
      <c r="G32" s="113">
        <v>721208226</v>
      </c>
      <c r="I32" s="117">
        <f t="shared" si="2"/>
        <v>0</v>
      </c>
      <c r="J32" s="117">
        <f t="shared" si="3"/>
        <v>16</v>
      </c>
      <c r="K32" s="119" t="str">
        <f t="shared" si="4"/>
        <v>Morbitzer Marcel</v>
      </c>
      <c r="L32" s="117">
        <f t="shared" si="5"/>
        <v>16</v>
      </c>
      <c r="M32" s="117">
        <f t="shared" si="6"/>
        <v>0</v>
      </c>
      <c r="N32" s="117">
        <f t="shared" si="7"/>
        <v>10</v>
      </c>
      <c r="O32" s="117">
        <f t="shared" si="8"/>
        <v>0</v>
      </c>
      <c r="P32" s="117">
        <f t="shared" si="9"/>
        <v>10</v>
      </c>
      <c r="Q32" s="117"/>
      <c r="R32" s="119" t="str">
        <f t="shared" si="10"/>
        <v>Morbitzer</v>
      </c>
      <c r="S32" s="119" t="str">
        <f t="shared" si="11"/>
        <v>Marcel</v>
      </c>
      <c r="T32" s="117" t="str">
        <f t="shared" si="12"/>
        <v/>
      </c>
      <c r="U32" s="94">
        <f t="shared" si="13"/>
        <v>6</v>
      </c>
      <c r="V32" s="94">
        <f t="shared" si="14"/>
        <v>6</v>
      </c>
      <c r="W32" s="95" t="str">
        <f t="shared" si="15"/>
        <v>Marcel</v>
      </c>
      <c r="Y32" s="117">
        <f t="shared" si="16"/>
        <v>16</v>
      </c>
      <c r="Z32" s="117">
        <f t="shared" si="17"/>
        <v>6</v>
      </c>
      <c r="AA32" s="112" t="str">
        <f t="shared" si="18"/>
        <v>Krnov</v>
      </c>
      <c r="AB32" s="112"/>
      <c r="AC32" s="129">
        <v>30</v>
      </c>
      <c r="AD32" s="130" t="str">
        <f t="shared" si="19"/>
        <v>Marcel Morbitzer</v>
      </c>
      <c r="AE32" s="130" t="str">
        <f t="shared" si="58"/>
        <v>Marcel Morbitzer</v>
      </c>
      <c r="AF32" s="130" t="str">
        <f t="shared" si="21"/>
        <v>Krnov</v>
      </c>
      <c r="AG32" s="131">
        <f t="shared" si="22"/>
        <v>115095779</v>
      </c>
      <c r="AH32" s="132" t="str">
        <f t="shared" si="23"/>
        <v>5T1 4400</v>
      </c>
      <c r="BM32" s="117">
        <f t="shared" si="59"/>
        <v>99</v>
      </c>
      <c r="BN32" s="117">
        <f t="shared" si="49"/>
        <v>1</v>
      </c>
    </row>
    <row r="33" spans="1:66" x14ac:dyDescent="0.25">
      <c r="A33" s="117">
        <f t="shared" si="56"/>
        <v>31</v>
      </c>
      <c r="B33" s="113" t="s">
        <v>93</v>
      </c>
      <c r="C33" s="21">
        <v>103819457</v>
      </c>
      <c r="D33" s="113" t="s">
        <v>156</v>
      </c>
      <c r="E33" s="113" t="s">
        <v>94</v>
      </c>
      <c r="F33" s="21">
        <v>2</v>
      </c>
      <c r="G33" s="113">
        <v>603842210</v>
      </c>
      <c r="I33" s="117">
        <f t="shared" si="2"/>
        <v>0</v>
      </c>
      <c r="J33" s="117">
        <f t="shared" si="3"/>
        <v>10</v>
      </c>
      <c r="K33" s="119" t="str">
        <f t="shared" si="4"/>
        <v>Nečas Jiří</v>
      </c>
      <c r="L33" s="117">
        <f t="shared" si="5"/>
        <v>10</v>
      </c>
      <c r="M33" s="117">
        <f t="shared" si="6"/>
        <v>6</v>
      </c>
      <c r="N33" s="117">
        <f t="shared" si="7"/>
        <v>0</v>
      </c>
      <c r="O33" s="117">
        <f t="shared" si="8"/>
        <v>0</v>
      </c>
      <c r="P33" s="117">
        <f t="shared" si="9"/>
        <v>6</v>
      </c>
      <c r="Q33" s="117"/>
      <c r="R33" s="119" t="str">
        <f t="shared" si="10"/>
        <v>Nečas</v>
      </c>
      <c r="S33" s="119" t="str">
        <f t="shared" si="11"/>
        <v>Jiří</v>
      </c>
      <c r="T33" s="117" t="str">
        <f t="shared" si="12"/>
        <v/>
      </c>
      <c r="U33" s="94">
        <f t="shared" si="13"/>
        <v>4</v>
      </c>
      <c r="V33" s="94">
        <f t="shared" si="14"/>
        <v>4</v>
      </c>
      <c r="W33" s="95" t="str">
        <f t="shared" si="15"/>
        <v>Jiří</v>
      </c>
      <c r="Y33" s="117">
        <f t="shared" si="16"/>
        <v>20</v>
      </c>
      <c r="Z33" s="117">
        <f t="shared" si="17"/>
        <v>5</v>
      </c>
      <c r="AA33" s="112" t="str">
        <f t="shared" si="18"/>
        <v>Brno</v>
      </c>
      <c r="AB33" s="112"/>
      <c r="AC33" s="129">
        <v>31</v>
      </c>
      <c r="AD33" s="130" t="str">
        <f t="shared" si="19"/>
        <v>Jiří Nečas</v>
      </c>
      <c r="AE33" s="130" t="str">
        <f t="shared" si="58"/>
        <v>Jiří Nečas</v>
      </c>
      <c r="AF33" s="130" t="str">
        <f t="shared" si="21"/>
        <v>Brno</v>
      </c>
      <c r="AG33" s="131">
        <f t="shared" si="22"/>
        <v>103819457</v>
      </c>
      <c r="AH33" s="132" t="str">
        <f t="shared" si="23"/>
        <v>BZJ 01 70</v>
      </c>
      <c r="BM33" s="117">
        <f t="shared" si="59"/>
        <v>99</v>
      </c>
      <c r="BN33" s="117">
        <f t="shared" si="49"/>
        <v>1</v>
      </c>
    </row>
    <row r="34" spans="1:66" x14ac:dyDescent="0.25">
      <c r="A34" s="117">
        <f t="shared" si="56"/>
        <v>32</v>
      </c>
      <c r="B34" s="113" t="s">
        <v>95</v>
      </c>
      <c r="C34" s="21">
        <v>105333952</v>
      </c>
      <c r="D34" s="113" t="s">
        <v>157</v>
      </c>
      <c r="E34" s="113" t="s">
        <v>235</v>
      </c>
      <c r="F34" s="21">
        <v>1</v>
      </c>
      <c r="G34" s="113">
        <v>777210357</v>
      </c>
      <c r="I34" s="117">
        <f t="shared" si="2"/>
        <v>0</v>
      </c>
      <c r="J34" s="117">
        <f t="shared" si="3"/>
        <v>9</v>
      </c>
      <c r="K34" s="119" t="str">
        <f t="shared" si="4"/>
        <v>Nový Aleš</v>
      </c>
      <c r="L34" s="117">
        <f t="shared" si="5"/>
        <v>9</v>
      </c>
      <c r="M34" s="117">
        <f t="shared" si="6"/>
        <v>5</v>
      </c>
      <c r="N34" s="117">
        <f t="shared" si="7"/>
        <v>0</v>
      </c>
      <c r="O34" s="117">
        <f t="shared" si="8"/>
        <v>0</v>
      </c>
      <c r="P34" s="117">
        <f t="shared" si="9"/>
        <v>5</v>
      </c>
      <c r="Q34" s="117"/>
      <c r="R34" s="119" t="str">
        <f t="shared" si="10"/>
        <v>Nový</v>
      </c>
      <c r="S34" s="119" t="str">
        <f t="shared" si="11"/>
        <v>Aleš</v>
      </c>
      <c r="T34" s="117" t="str">
        <f t="shared" si="12"/>
        <v/>
      </c>
      <c r="U34" s="94">
        <f t="shared" si="13"/>
        <v>4</v>
      </c>
      <c r="V34" s="94">
        <f t="shared" si="14"/>
        <v>4</v>
      </c>
      <c r="W34" s="95" t="str">
        <f t="shared" si="15"/>
        <v>Aleš</v>
      </c>
      <c r="Y34" s="117">
        <f t="shared" si="16"/>
        <v>31</v>
      </c>
      <c r="Z34" s="117">
        <f t="shared" si="17"/>
        <v>15</v>
      </c>
      <c r="AA34" s="112" t="str">
        <f t="shared" si="18"/>
        <v>Mladá Boleslav</v>
      </c>
      <c r="AB34" s="112"/>
      <c r="AC34" s="129">
        <v>32</v>
      </c>
      <c r="AD34" s="130" t="str">
        <f t="shared" si="19"/>
        <v>Aleš Nový</v>
      </c>
      <c r="AE34" s="130" t="str">
        <f t="shared" si="58"/>
        <v>Aleš Nový</v>
      </c>
      <c r="AF34" s="130" t="str">
        <f t="shared" si="21"/>
        <v>Mladá Boleslav</v>
      </c>
      <c r="AG34" s="131">
        <f t="shared" si="22"/>
        <v>105333952</v>
      </c>
      <c r="AH34" s="132" t="str">
        <f t="shared" si="23"/>
        <v>1SH 7203</v>
      </c>
      <c r="BM34" s="117">
        <f t="shared" si="59"/>
        <v>99</v>
      </c>
      <c r="BN34" s="117">
        <f t="shared" si="49"/>
        <v>1</v>
      </c>
    </row>
    <row r="35" spans="1:66" x14ac:dyDescent="0.25">
      <c r="A35" s="117">
        <f t="shared" si="56"/>
        <v>33</v>
      </c>
      <c r="B35" s="113" t="s">
        <v>217</v>
      </c>
      <c r="C35" s="21" t="s">
        <v>215</v>
      </c>
      <c r="D35" s="113" t="s">
        <v>216</v>
      </c>
      <c r="E35" s="113"/>
      <c r="F35" s="21"/>
      <c r="G35" s="113"/>
      <c r="I35" s="117">
        <f t="shared" si="2"/>
        <v>0</v>
      </c>
      <c r="J35" s="117">
        <f t="shared" si="3"/>
        <v>18</v>
      </c>
      <c r="K35" s="119" t="str">
        <f t="shared" si="4"/>
        <v>Ondrejkovič Michal</v>
      </c>
      <c r="L35" s="117">
        <f t="shared" si="5"/>
        <v>18</v>
      </c>
      <c r="M35" s="117">
        <f t="shared" si="6"/>
        <v>0</v>
      </c>
      <c r="N35" s="117">
        <f t="shared" si="7"/>
        <v>12</v>
      </c>
      <c r="O35" s="117">
        <f t="shared" si="8"/>
        <v>0</v>
      </c>
      <c r="P35" s="117">
        <f t="shared" si="9"/>
        <v>12</v>
      </c>
      <c r="Q35" s="117"/>
      <c r="R35" s="119" t="str">
        <f t="shared" si="10"/>
        <v>Ondrejkovič</v>
      </c>
      <c r="S35" s="119" t="str">
        <f t="shared" si="11"/>
        <v>Michal</v>
      </c>
      <c r="T35" s="117" t="str">
        <f t="shared" si="12"/>
        <v/>
      </c>
      <c r="U35" s="94">
        <f t="shared" si="13"/>
        <v>6</v>
      </c>
      <c r="V35" s="94">
        <f t="shared" si="14"/>
        <v>6</v>
      </c>
      <c r="W35" s="95" t="str">
        <f>MID(S35,1,V35)</f>
        <v>Michal</v>
      </c>
      <c r="Y35" s="117">
        <f t="shared" si="16"/>
        <v>23</v>
      </c>
      <c r="Z35" s="117">
        <f t="shared" si="17"/>
        <v>5</v>
      </c>
      <c r="AA35" s="112" t="str">
        <f t="shared" si="18"/>
        <v>Brno</v>
      </c>
      <c r="AB35" s="112"/>
      <c r="AC35" s="129">
        <v>33</v>
      </c>
      <c r="AD35" s="130" t="str">
        <f>IF(I35=3,(CONCATENATE(W35," ",R35," ",T35)),(IF(I35=0,(CONCATENATE(W35," ",R35)),(CONCATENATE(T35," ",W35," ",R35)))))</f>
        <v>Michal Ondrejkovič</v>
      </c>
      <c r="AE35" s="130" t="str">
        <f t="shared" si="58"/>
        <v>Michal Ondrejkovič</v>
      </c>
      <c r="AF35" s="130" t="str">
        <f t="shared" si="21"/>
        <v>Brno</v>
      </c>
      <c r="AG35" s="131" t="str">
        <f t="shared" si="22"/>
        <v>AE884504</v>
      </c>
      <c r="AH35" s="132" t="str">
        <f t="shared" si="23"/>
        <v/>
      </c>
      <c r="BM35" s="117">
        <f t="shared" si="59"/>
        <v>99</v>
      </c>
      <c r="BN35" s="117">
        <f t="shared" si="49"/>
        <v>1</v>
      </c>
    </row>
    <row r="36" spans="1:66" x14ac:dyDescent="0.25">
      <c r="A36" s="117">
        <f t="shared" si="56"/>
        <v>34</v>
      </c>
      <c r="B36" s="113" t="s">
        <v>96</v>
      </c>
      <c r="C36" s="21">
        <v>111529901</v>
      </c>
      <c r="D36" s="113" t="s">
        <v>158</v>
      </c>
      <c r="E36" s="113" t="s">
        <v>97</v>
      </c>
      <c r="F36" s="21">
        <v>1</v>
      </c>
      <c r="G36" s="113">
        <v>777097125</v>
      </c>
      <c r="I36" s="117">
        <f t="shared" si="2"/>
        <v>0</v>
      </c>
      <c r="J36" s="117">
        <f t="shared" si="3"/>
        <v>13</v>
      </c>
      <c r="K36" s="119" t="str">
        <f t="shared" si="4"/>
        <v>Pařík Antonín</v>
      </c>
      <c r="L36" s="117">
        <f t="shared" si="5"/>
        <v>13</v>
      </c>
      <c r="M36" s="117">
        <f t="shared" si="6"/>
        <v>6</v>
      </c>
      <c r="N36" s="117">
        <f t="shared" si="7"/>
        <v>0</v>
      </c>
      <c r="O36" s="117">
        <f t="shared" si="8"/>
        <v>0</v>
      </c>
      <c r="P36" s="117">
        <f t="shared" si="9"/>
        <v>6</v>
      </c>
      <c r="Q36" s="117"/>
      <c r="R36" s="119" t="str">
        <f t="shared" si="10"/>
        <v>Pařík</v>
      </c>
      <c r="S36" s="119" t="str">
        <f t="shared" si="11"/>
        <v>Antonín</v>
      </c>
      <c r="T36" s="117" t="str">
        <f t="shared" si="12"/>
        <v/>
      </c>
      <c r="U36" s="94">
        <f t="shared" si="13"/>
        <v>7</v>
      </c>
      <c r="V36" s="94">
        <f t="shared" si="14"/>
        <v>7</v>
      </c>
      <c r="W36" s="95" t="str">
        <f t="shared" si="15"/>
        <v>Antonín</v>
      </c>
      <c r="Y36" s="117">
        <f t="shared" si="16"/>
        <v>18</v>
      </c>
      <c r="Z36" s="117">
        <f t="shared" si="17"/>
        <v>6</v>
      </c>
      <c r="AA36" s="112" t="str">
        <f t="shared" si="18"/>
        <v>Plzeň</v>
      </c>
      <c r="AB36" s="112"/>
      <c r="AC36" s="129">
        <v>34</v>
      </c>
      <c r="AD36" s="130" t="str">
        <f t="shared" si="19"/>
        <v>Antonín Pařík</v>
      </c>
      <c r="AE36" s="130" t="str">
        <f t="shared" si="58"/>
        <v>Antonín Pařík</v>
      </c>
      <c r="AF36" s="130" t="str">
        <f t="shared" si="21"/>
        <v>Plzeň</v>
      </c>
      <c r="AG36" s="131">
        <f t="shared" si="22"/>
        <v>111529901</v>
      </c>
      <c r="AH36" s="132" t="str">
        <f t="shared" si="23"/>
        <v>3P1 9475</v>
      </c>
      <c r="BM36" s="117">
        <f t="shared" si="59"/>
        <v>99</v>
      </c>
      <c r="BN36" s="117">
        <f t="shared" si="49"/>
        <v>1</v>
      </c>
    </row>
    <row r="37" spans="1:66" x14ac:dyDescent="0.25">
      <c r="A37" s="117">
        <f t="shared" si="56"/>
        <v>35</v>
      </c>
      <c r="B37" s="113" t="s">
        <v>98</v>
      </c>
      <c r="C37" s="21">
        <v>201883638</v>
      </c>
      <c r="D37" s="113" t="s">
        <v>159</v>
      </c>
      <c r="E37" s="113" t="s">
        <v>241</v>
      </c>
      <c r="F37" s="21">
        <v>1</v>
      </c>
      <c r="G37" s="113">
        <v>604877142</v>
      </c>
      <c r="I37" s="117">
        <f t="shared" si="2"/>
        <v>0</v>
      </c>
      <c r="J37" s="117">
        <f t="shared" si="3"/>
        <v>13</v>
      </c>
      <c r="K37" s="119" t="str">
        <f t="shared" si="4"/>
        <v>Peterka Pavel</v>
      </c>
      <c r="L37" s="117">
        <f t="shared" si="5"/>
        <v>13</v>
      </c>
      <c r="M37" s="117">
        <f t="shared" si="6"/>
        <v>8</v>
      </c>
      <c r="N37" s="117">
        <f t="shared" si="7"/>
        <v>0</v>
      </c>
      <c r="O37" s="117">
        <f t="shared" si="8"/>
        <v>0</v>
      </c>
      <c r="P37" s="117">
        <f t="shared" si="9"/>
        <v>8</v>
      </c>
      <c r="Q37" s="117"/>
      <c r="R37" s="119" t="str">
        <f t="shared" si="10"/>
        <v>Peterka</v>
      </c>
      <c r="S37" s="119" t="str">
        <f t="shared" si="11"/>
        <v>Pavel</v>
      </c>
      <c r="T37" s="117" t="str">
        <f t="shared" si="12"/>
        <v/>
      </c>
      <c r="U37" s="94">
        <f t="shared" si="13"/>
        <v>5</v>
      </c>
      <c r="V37" s="94">
        <f t="shared" si="14"/>
        <v>5</v>
      </c>
      <c r="W37" s="95" t="str">
        <f t="shared" si="15"/>
        <v>Pavel</v>
      </c>
      <c r="Y37" s="117">
        <f t="shared" si="16"/>
        <v>20</v>
      </c>
      <c r="Z37" s="117">
        <f t="shared" si="17"/>
        <v>8</v>
      </c>
      <c r="AA37" s="112" t="str">
        <f t="shared" si="18"/>
        <v>Březová</v>
      </c>
      <c r="AB37" s="112"/>
      <c r="AC37" s="129">
        <v>35</v>
      </c>
      <c r="AD37" s="130" t="str">
        <f t="shared" si="19"/>
        <v>Pavel Peterka</v>
      </c>
      <c r="AE37" s="130" t="str">
        <f t="shared" si="58"/>
        <v>Pavel Peterka</v>
      </c>
      <c r="AF37" s="130" t="str">
        <f t="shared" si="21"/>
        <v>Březová</v>
      </c>
      <c r="AG37" s="131">
        <f t="shared" si="22"/>
        <v>201883638</v>
      </c>
      <c r="AH37" s="132" t="str">
        <f t="shared" si="23"/>
        <v>3K6 9886</v>
      </c>
      <c r="BM37" s="117">
        <f t="shared" si="59"/>
        <v>99</v>
      </c>
      <c r="BN37" s="117">
        <f t="shared" si="49"/>
        <v>1</v>
      </c>
    </row>
    <row r="38" spans="1:66" x14ac:dyDescent="0.25">
      <c r="A38" s="117">
        <f t="shared" si="56"/>
        <v>36</v>
      </c>
      <c r="B38" s="113" t="s">
        <v>99</v>
      </c>
      <c r="C38" s="21">
        <v>108811237</v>
      </c>
      <c r="D38" s="113" t="s">
        <v>160</v>
      </c>
      <c r="E38" s="113" t="s">
        <v>100</v>
      </c>
      <c r="F38" s="21" t="s">
        <v>101</v>
      </c>
      <c r="G38" s="113">
        <v>603848532</v>
      </c>
      <c r="I38" s="117">
        <f t="shared" si="2"/>
        <v>0</v>
      </c>
      <c r="J38" s="117">
        <f t="shared" si="3"/>
        <v>15</v>
      </c>
      <c r="K38" s="119" t="str">
        <f t="shared" si="4"/>
        <v>Petráček Michal</v>
      </c>
      <c r="L38" s="117">
        <f t="shared" si="5"/>
        <v>15</v>
      </c>
      <c r="M38" s="117">
        <f t="shared" si="6"/>
        <v>0</v>
      </c>
      <c r="N38" s="117">
        <f t="shared" si="7"/>
        <v>9</v>
      </c>
      <c r="O38" s="117">
        <f t="shared" si="8"/>
        <v>0</v>
      </c>
      <c r="P38" s="117">
        <f t="shared" si="9"/>
        <v>9</v>
      </c>
      <c r="Q38" s="117"/>
      <c r="R38" s="119" t="str">
        <f t="shared" si="10"/>
        <v>Petráček</v>
      </c>
      <c r="S38" s="119" t="str">
        <f t="shared" si="11"/>
        <v>Michal</v>
      </c>
      <c r="T38" s="117" t="str">
        <f t="shared" si="12"/>
        <v/>
      </c>
      <c r="U38" s="94">
        <f t="shared" si="13"/>
        <v>6</v>
      </c>
      <c r="V38" s="94">
        <f t="shared" si="14"/>
        <v>6</v>
      </c>
      <c r="W38" s="95" t="str">
        <f t="shared" si="15"/>
        <v>Michal</v>
      </c>
      <c r="Y38" s="117">
        <f t="shared" si="16"/>
        <v>28</v>
      </c>
      <c r="Z38" s="117">
        <f t="shared" si="17"/>
        <v>15</v>
      </c>
      <c r="AA38" s="112" t="str">
        <f t="shared" si="18"/>
        <v>Hradec Králové</v>
      </c>
      <c r="AB38" s="112"/>
      <c r="AC38" s="129">
        <v>36</v>
      </c>
      <c r="AD38" s="130" t="str">
        <f t="shared" si="19"/>
        <v>Michal Petráček</v>
      </c>
      <c r="AE38" s="130" t="str">
        <f t="shared" si="58"/>
        <v>Michal Petráček</v>
      </c>
      <c r="AF38" s="130" t="str">
        <f t="shared" si="21"/>
        <v>Hradec Králové</v>
      </c>
      <c r="AG38" s="131">
        <f t="shared" si="22"/>
        <v>108811237</v>
      </c>
      <c r="AH38" s="132" t="str">
        <f t="shared" si="23"/>
        <v>2H8 1986</v>
      </c>
      <c r="BM38" s="117">
        <f t="shared" si="59"/>
        <v>99</v>
      </c>
      <c r="BN38" s="117">
        <f t="shared" si="49"/>
        <v>1</v>
      </c>
    </row>
    <row r="39" spans="1:66" x14ac:dyDescent="0.25">
      <c r="A39" s="117">
        <f t="shared" si="56"/>
        <v>37</v>
      </c>
      <c r="B39" s="113" t="s">
        <v>242</v>
      </c>
      <c r="C39" s="21">
        <v>207074086</v>
      </c>
      <c r="D39" s="113" t="s">
        <v>102</v>
      </c>
      <c r="E39" s="113" t="s">
        <v>240</v>
      </c>
      <c r="F39" s="21"/>
      <c r="G39" s="113">
        <v>732923143</v>
      </c>
      <c r="I39" s="117">
        <f t="shared" si="2"/>
        <v>0</v>
      </c>
      <c r="J39" s="117">
        <f t="shared" si="3"/>
        <v>15</v>
      </c>
      <c r="K39" s="119" t="str">
        <f t="shared" si="4"/>
        <v>Piterková Petra</v>
      </c>
      <c r="L39" s="117">
        <f t="shared" si="5"/>
        <v>15</v>
      </c>
      <c r="M39" s="117">
        <f t="shared" si="6"/>
        <v>0</v>
      </c>
      <c r="N39" s="117">
        <f t="shared" si="7"/>
        <v>10</v>
      </c>
      <c r="O39" s="117">
        <f t="shared" si="8"/>
        <v>0</v>
      </c>
      <c r="P39" s="117">
        <f t="shared" si="9"/>
        <v>10</v>
      </c>
      <c r="Q39" s="117"/>
      <c r="R39" s="119" t="str">
        <f t="shared" si="10"/>
        <v>Piterková</v>
      </c>
      <c r="S39" s="119" t="str">
        <f t="shared" si="11"/>
        <v>Petra</v>
      </c>
      <c r="T39" s="117" t="str">
        <f t="shared" si="12"/>
        <v/>
      </c>
      <c r="U39" s="94">
        <f t="shared" si="13"/>
        <v>5</v>
      </c>
      <c r="V39" s="94">
        <f t="shared" si="14"/>
        <v>5</v>
      </c>
      <c r="W39" s="95" t="str">
        <f t="shared" si="15"/>
        <v>Petra</v>
      </c>
      <c r="Y39" s="117">
        <f t="shared" si="16"/>
        <v>27</v>
      </c>
      <c r="Z39" s="117">
        <f t="shared" si="17"/>
        <v>10</v>
      </c>
      <c r="AA39" s="112" t="str">
        <f t="shared" si="18"/>
        <v>Chrastava</v>
      </c>
      <c r="AB39" s="112"/>
      <c r="AC39" s="129">
        <v>37</v>
      </c>
      <c r="AD39" s="130" t="str">
        <f t="shared" si="19"/>
        <v>Petra Piterková</v>
      </c>
      <c r="AE39" s="130" t="str">
        <f t="shared" si="58"/>
        <v>Petra Piterková</v>
      </c>
      <c r="AF39" s="130" t="str">
        <f t="shared" si="21"/>
        <v>Chrastava</v>
      </c>
      <c r="AG39" s="131">
        <f t="shared" si="22"/>
        <v>207074086</v>
      </c>
      <c r="AH39" s="132" t="str">
        <f t="shared" si="23"/>
        <v>2K2 5967</v>
      </c>
      <c r="BM39" s="117">
        <f t="shared" si="59"/>
        <v>99</v>
      </c>
      <c r="BN39" s="117">
        <f t="shared" si="49"/>
        <v>1</v>
      </c>
    </row>
    <row r="40" spans="1:66" x14ac:dyDescent="0.25">
      <c r="A40" s="117">
        <f t="shared" si="56"/>
        <v>38</v>
      </c>
      <c r="B40" s="113" t="s">
        <v>103</v>
      </c>
      <c r="C40" s="21">
        <v>111964820</v>
      </c>
      <c r="D40" s="113" t="s">
        <v>104</v>
      </c>
      <c r="E40" s="113"/>
      <c r="F40" s="21">
        <v>2</v>
      </c>
      <c r="G40" s="113" t="s">
        <v>50</v>
      </c>
      <c r="I40" s="117">
        <f t="shared" si="2"/>
        <v>0</v>
      </c>
      <c r="J40" s="117">
        <f t="shared" si="3"/>
        <v>12</v>
      </c>
      <c r="K40" s="119" t="str">
        <f t="shared" si="4"/>
        <v>Růžička Petr</v>
      </c>
      <c r="L40" s="117">
        <f t="shared" si="5"/>
        <v>12</v>
      </c>
      <c r="M40" s="117">
        <f t="shared" si="6"/>
        <v>8</v>
      </c>
      <c r="N40" s="117">
        <f t="shared" si="7"/>
        <v>0</v>
      </c>
      <c r="O40" s="117">
        <f t="shared" si="8"/>
        <v>0</v>
      </c>
      <c r="P40" s="117">
        <f t="shared" si="9"/>
        <v>8</v>
      </c>
      <c r="Q40" s="117"/>
      <c r="R40" s="119" t="str">
        <f t="shared" si="10"/>
        <v>Růžička</v>
      </c>
      <c r="S40" s="119" t="str">
        <f t="shared" si="11"/>
        <v>Petr</v>
      </c>
      <c r="T40" s="117" t="str">
        <f t="shared" si="12"/>
        <v/>
      </c>
      <c r="U40" s="94">
        <f t="shared" si="13"/>
        <v>4</v>
      </c>
      <c r="V40" s="94">
        <f t="shared" si="14"/>
        <v>4</v>
      </c>
      <c r="W40" s="95" t="str">
        <f t="shared" si="15"/>
        <v>Petr</v>
      </c>
      <c r="Y40" s="117">
        <f t="shared" si="16"/>
        <v>23</v>
      </c>
      <c r="Z40" s="117">
        <f t="shared" si="17"/>
        <v>12</v>
      </c>
      <c r="AA40" s="112" t="str">
        <f t="shared" si="18"/>
        <v>Krásná Lípa</v>
      </c>
      <c r="AB40" s="112"/>
      <c r="AC40" s="129">
        <v>38</v>
      </c>
      <c r="AD40" s="130" t="str">
        <f t="shared" si="19"/>
        <v>Petr Růžička</v>
      </c>
      <c r="AE40" s="130" t="str">
        <f t="shared" si="58"/>
        <v>Petr Růžička</v>
      </c>
      <c r="AF40" s="130" t="str">
        <f t="shared" si="21"/>
        <v>Krásná Lípa</v>
      </c>
      <c r="AG40" s="131">
        <f t="shared" si="22"/>
        <v>111964820</v>
      </c>
      <c r="AH40" s="132" t="str">
        <f t="shared" si="23"/>
        <v/>
      </c>
      <c r="BM40" s="117">
        <f t="shared" si="59"/>
        <v>99</v>
      </c>
      <c r="BN40" s="117">
        <f t="shared" si="49"/>
        <v>1</v>
      </c>
    </row>
    <row r="41" spans="1:66" x14ac:dyDescent="0.25">
      <c r="A41" s="117">
        <f t="shared" si="56"/>
        <v>39</v>
      </c>
      <c r="B41" s="113" t="s">
        <v>197</v>
      </c>
      <c r="C41" s="21">
        <v>113075831</v>
      </c>
      <c r="D41" s="113" t="s">
        <v>105</v>
      </c>
      <c r="E41" s="113" t="s">
        <v>237</v>
      </c>
      <c r="F41" s="21">
        <v>1</v>
      </c>
      <c r="G41" s="113">
        <v>723422540</v>
      </c>
      <c r="I41" s="117">
        <f t="shared" si="2"/>
        <v>2</v>
      </c>
      <c r="J41" s="117">
        <f t="shared" si="3"/>
        <v>20</v>
      </c>
      <c r="K41" s="119" t="str">
        <f t="shared" si="4"/>
        <v xml:space="preserve">Scheiner Václav </v>
      </c>
      <c r="L41" s="117">
        <f t="shared" si="5"/>
        <v>16</v>
      </c>
      <c r="M41" s="117">
        <f t="shared" si="6"/>
        <v>0</v>
      </c>
      <c r="N41" s="117">
        <f t="shared" si="7"/>
        <v>9</v>
      </c>
      <c r="O41" s="117">
        <f t="shared" si="8"/>
        <v>0</v>
      </c>
      <c r="P41" s="117">
        <f t="shared" si="9"/>
        <v>9</v>
      </c>
      <c r="Q41" s="117"/>
      <c r="R41" s="119" t="str">
        <f t="shared" si="10"/>
        <v>Scheiner</v>
      </c>
      <c r="S41" s="119" t="str">
        <f t="shared" si="11"/>
        <v xml:space="preserve">Václav </v>
      </c>
      <c r="T41" s="117" t="str">
        <f t="shared" si="12"/>
        <v>Mgr.</v>
      </c>
      <c r="U41" s="94">
        <f t="shared" si="13"/>
        <v>7</v>
      </c>
      <c r="V41" s="94">
        <f t="shared" si="14"/>
        <v>6</v>
      </c>
      <c r="W41" s="95" t="str">
        <f t="shared" si="15"/>
        <v>Václav</v>
      </c>
      <c r="Y41" s="117">
        <f t="shared" si="16"/>
        <v>28</v>
      </c>
      <c r="Z41" s="117">
        <f t="shared" si="17"/>
        <v>11</v>
      </c>
      <c r="AA41" s="112" t="str">
        <f t="shared" si="18"/>
        <v>Mnichovice</v>
      </c>
      <c r="AB41" s="112"/>
      <c r="AC41" s="129">
        <v>39</v>
      </c>
      <c r="AD41" s="130" t="str">
        <f t="shared" si="19"/>
        <v>Mgr. Václav Scheiner</v>
      </c>
      <c r="AE41" s="130" t="str">
        <f t="shared" si="58"/>
        <v>Václav Scheiner</v>
      </c>
      <c r="AF41" s="130" t="str">
        <f t="shared" si="21"/>
        <v>Mnichovice</v>
      </c>
      <c r="AG41" s="131">
        <f t="shared" si="22"/>
        <v>113075831</v>
      </c>
      <c r="AH41" s="132" t="str">
        <f t="shared" si="23"/>
        <v>2SJ 7535</v>
      </c>
      <c r="BM41" s="117">
        <f t="shared" si="59"/>
        <v>99</v>
      </c>
      <c r="BN41" s="117">
        <f t="shared" si="49"/>
        <v>1</v>
      </c>
    </row>
    <row r="42" spans="1:66" x14ac:dyDescent="0.25">
      <c r="A42" s="117">
        <f t="shared" si="56"/>
        <v>40</v>
      </c>
      <c r="B42" s="113" t="s">
        <v>239</v>
      </c>
      <c r="C42" s="21">
        <v>200429009</v>
      </c>
      <c r="D42" s="113" t="s">
        <v>161</v>
      </c>
      <c r="E42" s="113" t="s">
        <v>238</v>
      </c>
      <c r="F42" s="21"/>
      <c r="G42" s="113">
        <v>775301551</v>
      </c>
      <c r="I42" s="117">
        <f t="shared" si="2"/>
        <v>0</v>
      </c>
      <c r="J42" s="117">
        <f t="shared" si="3"/>
        <v>17</v>
      </c>
      <c r="K42" s="119" t="str">
        <f t="shared" si="4"/>
        <v>Bc. Skalický Petr</v>
      </c>
      <c r="L42" s="117">
        <f t="shared" si="5"/>
        <v>17</v>
      </c>
      <c r="M42" s="117">
        <f t="shared" si="6"/>
        <v>4</v>
      </c>
      <c r="N42" s="117">
        <f t="shared" si="7"/>
        <v>13</v>
      </c>
      <c r="O42" s="117">
        <f t="shared" si="8"/>
        <v>0</v>
      </c>
      <c r="P42" s="117">
        <f t="shared" si="9"/>
        <v>4</v>
      </c>
      <c r="Q42" s="117"/>
      <c r="R42" s="119" t="str">
        <f t="shared" si="10"/>
        <v>Bc.</v>
      </c>
      <c r="S42" s="119" t="str">
        <f t="shared" si="11"/>
        <v>Skalický Petr</v>
      </c>
      <c r="T42" s="117" t="str">
        <f t="shared" si="12"/>
        <v/>
      </c>
      <c r="U42" s="94">
        <f t="shared" si="13"/>
        <v>13</v>
      </c>
      <c r="V42" s="94">
        <f t="shared" si="14"/>
        <v>13</v>
      </c>
      <c r="W42" s="95" t="str">
        <f t="shared" si="15"/>
        <v>Skalický Petr</v>
      </c>
      <c r="Y42" s="117">
        <f t="shared" si="16"/>
        <v>7</v>
      </c>
      <c r="Z42" s="117">
        <f t="shared" si="17"/>
        <v>5</v>
      </c>
      <c r="AA42" s="112" t="str">
        <f t="shared" si="18"/>
        <v>Brno</v>
      </c>
      <c r="AB42" s="112"/>
      <c r="AC42" s="129">
        <v>40</v>
      </c>
      <c r="AD42" s="130" t="str">
        <f t="shared" si="19"/>
        <v>Skalický Petr Bc.</v>
      </c>
      <c r="AE42" s="130" t="str">
        <f t="shared" si="58"/>
        <v>Skalický Petr Bc.</v>
      </c>
      <c r="AF42" s="130" t="str">
        <f t="shared" si="21"/>
        <v>Brno</v>
      </c>
      <c r="AG42" s="131">
        <f t="shared" si="22"/>
        <v>200429009</v>
      </c>
      <c r="AH42" s="132" t="str">
        <f t="shared" si="23"/>
        <v>9B4 4887</v>
      </c>
      <c r="BM42" s="117">
        <f t="shared" si="59"/>
        <v>99</v>
      </c>
      <c r="BN42" s="117">
        <f t="shared" si="49"/>
        <v>1</v>
      </c>
    </row>
    <row r="43" spans="1:66" x14ac:dyDescent="0.25">
      <c r="A43" s="117">
        <f t="shared" si="56"/>
        <v>41</v>
      </c>
      <c r="B43" s="113" t="s">
        <v>106</v>
      </c>
      <c r="C43" s="21">
        <v>111309276</v>
      </c>
      <c r="D43" s="113" t="s">
        <v>162</v>
      </c>
      <c r="E43" s="113"/>
      <c r="F43" s="21"/>
      <c r="G43" s="113">
        <v>777109615</v>
      </c>
      <c r="I43" s="117">
        <f t="shared" si="2"/>
        <v>0</v>
      </c>
      <c r="J43" s="117">
        <f t="shared" si="3"/>
        <v>15</v>
      </c>
      <c r="K43" s="119" t="str">
        <f t="shared" si="4"/>
        <v>Slach Stanislav</v>
      </c>
      <c r="L43" s="117">
        <f t="shared" si="5"/>
        <v>15</v>
      </c>
      <c r="M43" s="117">
        <f t="shared" si="6"/>
        <v>6</v>
      </c>
      <c r="N43" s="117">
        <f t="shared" si="7"/>
        <v>0</v>
      </c>
      <c r="O43" s="117">
        <f t="shared" si="8"/>
        <v>0</v>
      </c>
      <c r="P43" s="117">
        <f t="shared" si="9"/>
        <v>6</v>
      </c>
      <c r="Q43" s="117"/>
      <c r="R43" s="119" t="str">
        <f t="shared" si="10"/>
        <v>Slach</v>
      </c>
      <c r="S43" s="119" t="str">
        <f t="shared" si="11"/>
        <v>Stanislav</v>
      </c>
      <c r="T43" s="117" t="str">
        <f t="shared" si="12"/>
        <v/>
      </c>
      <c r="U43" s="94">
        <f t="shared" si="13"/>
        <v>9</v>
      </c>
      <c r="V43" s="94">
        <f t="shared" si="14"/>
        <v>9</v>
      </c>
      <c r="W43" s="95" t="str">
        <f t="shared" si="15"/>
        <v>Stanislav</v>
      </c>
      <c r="Y43" s="117">
        <f t="shared" si="16"/>
        <v>11</v>
      </c>
      <c r="Z43" s="117">
        <f t="shared" si="17"/>
        <v>9</v>
      </c>
      <c r="AA43" s="112" t="str">
        <f t="shared" si="18"/>
        <v>Litvínov</v>
      </c>
      <c r="AB43" s="112"/>
      <c r="AC43" s="129">
        <v>41</v>
      </c>
      <c r="AD43" s="130" t="str">
        <f t="shared" si="19"/>
        <v>Stanislav Slach</v>
      </c>
      <c r="AE43" s="130" t="str">
        <f t="shared" si="58"/>
        <v>Stanislav Slach</v>
      </c>
      <c r="AF43" s="130" t="str">
        <f t="shared" si="21"/>
        <v>Litvínov</v>
      </c>
      <c r="AG43" s="131">
        <f t="shared" si="22"/>
        <v>111309276</v>
      </c>
      <c r="AH43" s="132" t="str">
        <f t="shared" si="23"/>
        <v/>
      </c>
      <c r="BM43" s="117">
        <f t="shared" si="59"/>
        <v>99</v>
      </c>
      <c r="BN43" s="117">
        <f t="shared" si="49"/>
        <v>1</v>
      </c>
    </row>
    <row r="44" spans="1:66" x14ac:dyDescent="0.25">
      <c r="A44" s="117">
        <f t="shared" si="56"/>
        <v>42</v>
      </c>
      <c r="B44" s="113" t="s">
        <v>107</v>
      </c>
      <c r="C44" s="21">
        <v>108767442</v>
      </c>
      <c r="D44" s="113" t="s">
        <v>163</v>
      </c>
      <c r="E44" s="113" t="s">
        <v>108</v>
      </c>
      <c r="F44" s="21">
        <v>1</v>
      </c>
      <c r="G44" s="113">
        <v>724235500</v>
      </c>
      <c r="I44" s="117">
        <f t="shared" si="2"/>
        <v>0</v>
      </c>
      <c r="J44" s="117">
        <f t="shared" si="3"/>
        <v>13</v>
      </c>
      <c r="K44" s="119" t="str">
        <f t="shared" si="4"/>
        <v>Slončík Milan</v>
      </c>
      <c r="L44" s="117">
        <f t="shared" si="5"/>
        <v>13</v>
      </c>
      <c r="M44" s="117">
        <f t="shared" si="6"/>
        <v>8</v>
      </c>
      <c r="N44" s="117">
        <f t="shared" si="7"/>
        <v>0</v>
      </c>
      <c r="O44" s="117">
        <f t="shared" si="8"/>
        <v>0</v>
      </c>
      <c r="P44" s="117">
        <f t="shared" si="9"/>
        <v>8</v>
      </c>
      <c r="Q44" s="117"/>
      <c r="R44" s="119" t="str">
        <f t="shared" si="10"/>
        <v>Slončík</v>
      </c>
      <c r="S44" s="119" t="str">
        <f t="shared" si="11"/>
        <v>Milan</v>
      </c>
      <c r="T44" s="117" t="str">
        <f t="shared" si="12"/>
        <v/>
      </c>
      <c r="U44" s="94">
        <f t="shared" si="13"/>
        <v>5</v>
      </c>
      <c r="V44" s="94">
        <f t="shared" si="14"/>
        <v>5</v>
      </c>
      <c r="W44" s="95" t="str">
        <f t="shared" si="15"/>
        <v>Milan</v>
      </c>
      <c r="Y44" s="117">
        <f t="shared" si="16"/>
        <v>8</v>
      </c>
      <c r="Z44" s="117">
        <f t="shared" si="17"/>
        <v>8</v>
      </c>
      <c r="AA44" s="112" t="str">
        <f t="shared" si="18"/>
        <v>Havířov</v>
      </c>
      <c r="AB44" s="112"/>
      <c r="AC44" s="129">
        <v>42</v>
      </c>
      <c r="AD44" s="130" t="str">
        <f t="shared" si="19"/>
        <v>Milan Slončík</v>
      </c>
      <c r="AE44" s="130" t="str">
        <f t="shared" si="58"/>
        <v>Milan Slončík</v>
      </c>
      <c r="AF44" s="130" t="str">
        <f t="shared" si="21"/>
        <v>Havířov</v>
      </c>
      <c r="AG44" s="131">
        <f t="shared" si="22"/>
        <v>108767442</v>
      </c>
      <c r="AH44" s="132" t="str">
        <f t="shared" si="23"/>
        <v>4T1 5873</v>
      </c>
      <c r="BM44" s="117">
        <f t="shared" si="59"/>
        <v>99</v>
      </c>
      <c r="BN44" s="117">
        <f t="shared" si="49"/>
        <v>1</v>
      </c>
    </row>
    <row r="45" spans="1:66" x14ac:dyDescent="0.25">
      <c r="A45" s="117">
        <f t="shared" si="56"/>
        <v>43</v>
      </c>
      <c r="B45" s="113" t="s">
        <v>109</v>
      </c>
      <c r="C45" s="21">
        <v>109388248</v>
      </c>
      <c r="D45" s="113" t="s">
        <v>182</v>
      </c>
      <c r="E45" s="113" t="s">
        <v>110</v>
      </c>
      <c r="F45" s="21"/>
      <c r="G45" s="113">
        <v>603210925</v>
      </c>
      <c r="I45" s="117">
        <f t="shared" si="2"/>
        <v>0</v>
      </c>
      <c r="J45" s="117">
        <f t="shared" si="3"/>
        <v>11</v>
      </c>
      <c r="K45" s="119" t="str">
        <f t="shared" si="4"/>
        <v>Soukup Jiří</v>
      </c>
      <c r="L45" s="117">
        <f t="shared" si="5"/>
        <v>11</v>
      </c>
      <c r="M45" s="117">
        <f t="shared" si="6"/>
        <v>7</v>
      </c>
      <c r="N45" s="117">
        <f t="shared" si="7"/>
        <v>0</v>
      </c>
      <c r="O45" s="117">
        <f t="shared" si="8"/>
        <v>0</v>
      </c>
      <c r="P45" s="117">
        <f t="shared" si="9"/>
        <v>7</v>
      </c>
      <c r="Q45" s="117"/>
      <c r="R45" s="119" t="str">
        <f t="shared" si="10"/>
        <v>Soukup</v>
      </c>
      <c r="S45" s="119" t="str">
        <f t="shared" si="11"/>
        <v>Jiří</v>
      </c>
      <c r="T45" s="117" t="str">
        <f t="shared" si="12"/>
        <v/>
      </c>
      <c r="U45" s="94">
        <f t="shared" si="13"/>
        <v>4</v>
      </c>
      <c r="V45" s="94">
        <f t="shared" si="14"/>
        <v>4</v>
      </c>
      <c r="W45" s="95" t="str">
        <f t="shared" si="15"/>
        <v>Jiří</v>
      </c>
      <c r="Y45" s="117">
        <f t="shared" si="16"/>
        <v>27</v>
      </c>
      <c r="Z45" s="117">
        <f t="shared" si="17"/>
        <v>19</v>
      </c>
      <c r="AA45" s="112" t="str">
        <f t="shared" si="18"/>
        <v>Kostelec nad Labem</v>
      </c>
      <c r="AB45" s="112"/>
      <c r="AC45" s="129">
        <v>43</v>
      </c>
      <c r="AD45" s="130" t="str">
        <f t="shared" si="19"/>
        <v>Jiří Soukup</v>
      </c>
      <c r="AE45" s="130" t="str">
        <f t="shared" si="58"/>
        <v>Jiří Soukup</v>
      </c>
      <c r="AF45" s="130" t="str">
        <f t="shared" si="21"/>
        <v>Kostelec nad Labem</v>
      </c>
      <c r="AG45" s="131">
        <f t="shared" si="22"/>
        <v>109388248</v>
      </c>
      <c r="AH45" s="132" t="str">
        <f t="shared" si="23"/>
        <v>1S7 9729</v>
      </c>
      <c r="BM45" s="117">
        <f t="shared" si="59"/>
        <v>99</v>
      </c>
      <c r="BN45" s="117">
        <f t="shared" si="49"/>
        <v>1</v>
      </c>
    </row>
    <row r="46" spans="1:66" x14ac:dyDescent="0.25">
      <c r="A46" s="117">
        <f t="shared" si="56"/>
        <v>44</v>
      </c>
      <c r="B46" s="113" t="s">
        <v>111</v>
      </c>
      <c r="C46" s="21">
        <v>201275192</v>
      </c>
      <c r="D46" s="113" t="s">
        <v>164</v>
      </c>
      <c r="E46" s="113" t="s">
        <v>112</v>
      </c>
      <c r="F46" s="21">
        <v>1</v>
      </c>
      <c r="G46" s="113">
        <v>602164552</v>
      </c>
      <c r="I46" s="117">
        <f t="shared" si="2"/>
        <v>0</v>
      </c>
      <c r="J46" s="117">
        <f t="shared" si="3"/>
        <v>11</v>
      </c>
      <c r="K46" s="119" t="str">
        <f t="shared" si="4"/>
        <v>Svitek Belo</v>
      </c>
      <c r="L46" s="117">
        <f t="shared" si="5"/>
        <v>11</v>
      </c>
      <c r="M46" s="117">
        <f t="shared" si="6"/>
        <v>7</v>
      </c>
      <c r="N46" s="117">
        <f t="shared" si="7"/>
        <v>0</v>
      </c>
      <c r="O46" s="117">
        <f t="shared" si="8"/>
        <v>0</v>
      </c>
      <c r="P46" s="117">
        <f t="shared" si="9"/>
        <v>7</v>
      </c>
      <c r="Q46" s="117"/>
      <c r="R46" s="119" t="str">
        <f t="shared" si="10"/>
        <v>Svitek</v>
      </c>
      <c r="S46" s="119" t="str">
        <f t="shared" si="11"/>
        <v>Belo</v>
      </c>
      <c r="T46" s="117" t="str">
        <f t="shared" si="12"/>
        <v/>
      </c>
      <c r="U46" s="94">
        <f t="shared" si="13"/>
        <v>4</v>
      </c>
      <c r="V46" s="94">
        <f t="shared" si="14"/>
        <v>4</v>
      </c>
      <c r="W46" s="95" t="str">
        <f t="shared" si="15"/>
        <v>Belo</v>
      </c>
      <c r="Y46" s="117">
        <f t="shared" si="16"/>
        <v>24</v>
      </c>
      <c r="Z46" s="117">
        <f t="shared" si="17"/>
        <v>8</v>
      </c>
      <c r="AA46" s="112" t="str">
        <f t="shared" si="18"/>
        <v>Teplice</v>
      </c>
      <c r="AB46" s="112"/>
      <c r="AC46" s="129">
        <v>44</v>
      </c>
      <c r="AD46" s="130" t="str">
        <f t="shared" si="19"/>
        <v>Belo Svitek</v>
      </c>
      <c r="AE46" s="130" t="str">
        <f t="shared" si="58"/>
        <v>Belo Svitek</v>
      </c>
      <c r="AF46" s="130" t="str">
        <f t="shared" si="21"/>
        <v>Teplice</v>
      </c>
      <c r="AG46" s="131">
        <f t="shared" si="22"/>
        <v>201275192</v>
      </c>
      <c r="AH46" s="132" t="str">
        <f t="shared" si="23"/>
        <v>2AT 3814</v>
      </c>
      <c r="BM46" s="117">
        <f t="shared" si="59"/>
        <v>99</v>
      </c>
      <c r="BN46" s="117">
        <f t="shared" si="49"/>
        <v>1</v>
      </c>
    </row>
    <row r="47" spans="1:66" x14ac:dyDescent="0.25">
      <c r="A47" s="117">
        <f t="shared" si="56"/>
        <v>45</v>
      </c>
      <c r="B47" s="113" t="s">
        <v>185</v>
      </c>
      <c r="C47" s="21"/>
      <c r="D47" s="113" t="s">
        <v>165</v>
      </c>
      <c r="E47" s="113"/>
      <c r="F47" s="21"/>
      <c r="G47" s="113">
        <v>777759635</v>
      </c>
      <c r="I47" s="117">
        <f t="shared" si="2"/>
        <v>0</v>
      </c>
      <c r="J47" s="117">
        <f t="shared" si="3"/>
        <v>13</v>
      </c>
      <c r="K47" s="119" t="str">
        <f t="shared" si="4"/>
        <v>Svoboda Josef</v>
      </c>
      <c r="L47" s="117">
        <f t="shared" si="5"/>
        <v>13</v>
      </c>
      <c r="M47" s="117">
        <f t="shared" si="6"/>
        <v>8</v>
      </c>
      <c r="N47" s="117">
        <f t="shared" si="7"/>
        <v>0</v>
      </c>
      <c r="O47" s="117">
        <f t="shared" si="8"/>
        <v>0</v>
      </c>
      <c r="P47" s="117">
        <f t="shared" si="9"/>
        <v>8</v>
      </c>
      <c r="Q47" s="117"/>
      <c r="R47" s="119" t="str">
        <f t="shared" si="10"/>
        <v>Svoboda</v>
      </c>
      <c r="S47" s="119" t="str">
        <f t="shared" si="11"/>
        <v>Josef</v>
      </c>
      <c r="T47" s="117" t="str">
        <f t="shared" si="12"/>
        <v/>
      </c>
      <c r="U47" s="94">
        <f t="shared" si="13"/>
        <v>5</v>
      </c>
      <c r="V47" s="94">
        <f t="shared" si="14"/>
        <v>5</v>
      </c>
      <c r="W47" s="95" t="str">
        <f t="shared" si="15"/>
        <v>Josef</v>
      </c>
      <c r="Y47" s="117">
        <f t="shared" si="16"/>
        <v>10</v>
      </c>
      <c r="Z47" s="117">
        <f t="shared" si="17"/>
        <v>10</v>
      </c>
      <c r="AA47" s="112" t="str">
        <f t="shared" si="18"/>
        <v>Čechovice</v>
      </c>
      <c r="AB47" s="112"/>
      <c r="AC47" s="129">
        <v>45</v>
      </c>
      <c r="AD47" s="130" t="str">
        <f t="shared" si="19"/>
        <v>Josef Svoboda</v>
      </c>
      <c r="AE47" s="130" t="str">
        <f t="shared" si="58"/>
        <v>Josef Svoboda</v>
      </c>
      <c r="AF47" s="130" t="str">
        <f t="shared" si="21"/>
        <v>Čechovice</v>
      </c>
      <c r="AG47" s="131" t="str">
        <f t="shared" si="22"/>
        <v/>
      </c>
      <c r="AH47" s="132" t="str">
        <f t="shared" si="23"/>
        <v/>
      </c>
      <c r="BM47" s="117">
        <f t="shared" si="59"/>
        <v>99</v>
      </c>
      <c r="BN47" s="117">
        <f t="shared" si="49"/>
        <v>1</v>
      </c>
    </row>
    <row r="48" spans="1:66" x14ac:dyDescent="0.25">
      <c r="A48" s="117">
        <f t="shared" si="56"/>
        <v>46</v>
      </c>
      <c r="B48" s="113" t="s">
        <v>113</v>
      </c>
      <c r="C48" s="21">
        <v>103602687</v>
      </c>
      <c r="D48" s="113" t="s">
        <v>166</v>
      </c>
      <c r="E48" s="113" t="s">
        <v>114</v>
      </c>
      <c r="F48" s="21">
        <v>1</v>
      </c>
      <c r="G48" s="113">
        <v>724515372</v>
      </c>
      <c r="I48" s="117">
        <f t="shared" si="2"/>
        <v>0</v>
      </c>
      <c r="J48" s="117">
        <f t="shared" si="3"/>
        <v>12</v>
      </c>
      <c r="K48" s="119" t="str">
        <f t="shared" si="4"/>
        <v>Sýkora Josef</v>
      </c>
      <c r="L48" s="117">
        <f t="shared" si="5"/>
        <v>12</v>
      </c>
      <c r="M48" s="117">
        <f t="shared" si="6"/>
        <v>7</v>
      </c>
      <c r="N48" s="117">
        <f t="shared" si="7"/>
        <v>0</v>
      </c>
      <c r="O48" s="117">
        <f t="shared" si="8"/>
        <v>0</v>
      </c>
      <c r="P48" s="117">
        <f t="shared" si="9"/>
        <v>7</v>
      </c>
      <c r="Q48" s="117"/>
      <c r="R48" s="119" t="str">
        <f t="shared" si="10"/>
        <v>Sýkora</v>
      </c>
      <c r="S48" s="119" t="str">
        <f t="shared" si="11"/>
        <v>Josef</v>
      </c>
      <c r="T48" s="117" t="str">
        <f t="shared" si="12"/>
        <v/>
      </c>
      <c r="U48" s="94">
        <f t="shared" si="13"/>
        <v>5</v>
      </c>
      <c r="V48" s="94">
        <f t="shared" si="14"/>
        <v>5</v>
      </c>
      <c r="W48" s="95" t="str">
        <f t="shared" si="15"/>
        <v>Josef</v>
      </c>
      <c r="Y48" s="117">
        <f t="shared" si="16"/>
        <v>25</v>
      </c>
      <c r="Z48" s="117">
        <f t="shared" si="17"/>
        <v>11</v>
      </c>
      <c r="AA48" s="112" t="str">
        <f t="shared" si="18"/>
        <v>Borohrádek</v>
      </c>
      <c r="AB48" s="112"/>
      <c r="AC48" s="129">
        <v>46</v>
      </c>
      <c r="AD48" s="130" t="str">
        <f t="shared" si="19"/>
        <v>Josef Sýkora</v>
      </c>
      <c r="AE48" s="130" t="str">
        <f t="shared" si="58"/>
        <v>Josef Sýkora</v>
      </c>
      <c r="AF48" s="130" t="str">
        <f t="shared" si="21"/>
        <v>Borohrádek</v>
      </c>
      <c r="AG48" s="131">
        <f t="shared" si="22"/>
        <v>103602687</v>
      </c>
      <c r="AH48" s="132" t="str">
        <f t="shared" si="23"/>
        <v>2H7 9294</v>
      </c>
      <c r="BM48" s="117">
        <f t="shared" si="59"/>
        <v>99</v>
      </c>
      <c r="BN48" s="117">
        <f t="shared" si="49"/>
        <v>1</v>
      </c>
    </row>
    <row r="49" spans="1:66" x14ac:dyDescent="0.25">
      <c r="A49" s="117">
        <f t="shared" si="56"/>
        <v>47</v>
      </c>
      <c r="B49" s="113" t="s">
        <v>115</v>
      </c>
      <c r="C49" s="21">
        <v>111183206</v>
      </c>
      <c r="D49" s="113" t="s">
        <v>167</v>
      </c>
      <c r="E49" s="113" t="s">
        <v>116</v>
      </c>
      <c r="F49" s="21" t="s">
        <v>117</v>
      </c>
      <c r="G49" s="113">
        <v>721527582</v>
      </c>
      <c r="I49" s="117">
        <f t="shared" si="2"/>
        <v>0</v>
      </c>
      <c r="J49" s="117">
        <f t="shared" si="3"/>
        <v>11</v>
      </c>
      <c r="K49" s="119" t="str">
        <f t="shared" si="4"/>
        <v>Szturc Jiří</v>
      </c>
      <c r="L49" s="117">
        <f t="shared" si="5"/>
        <v>11</v>
      </c>
      <c r="M49" s="117">
        <f t="shared" si="6"/>
        <v>7</v>
      </c>
      <c r="N49" s="117">
        <f t="shared" si="7"/>
        <v>0</v>
      </c>
      <c r="O49" s="117">
        <f t="shared" si="8"/>
        <v>0</v>
      </c>
      <c r="P49" s="117">
        <f t="shared" si="9"/>
        <v>7</v>
      </c>
      <c r="Q49" s="117"/>
      <c r="R49" s="119" t="str">
        <f t="shared" si="10"/>
        <v>Szturc</v>
      </c>
      <c r="S49" s="119" t="str">
        <f t="shared" si="11"/>
        <v>Jiří</v>
      </c>
      <c r="T49" s="117" t="str">
        <f t="shared" si="12"/>
        <v/>
      </c>
      <c r="U49" s="94">
        <f t="shared" si="13"/>
        <v>4</v>
      </c>
      <c r="V49" s="94">
        <f t="shared" si="14"/>
        <v>4</v>
      </c>
      <c r="W49" s="95" t="str">
        <f t="shared" si="15"/>
        <v>Jiří</v>
      </c>
      <c r="Y49" s="117">
        <f t="shared" si="16"/>
        <v>20</v>
      </c>
      <c r="Z49" s="117">
        <f t="shared" si="17"/>
        <v>7</v>
      </c>
      <c r="AA49" s="112" t="str">
        <f t="shared" si="18"/>
        <v>Třinec</v>
      </c>
      <c r="AB49" s="112"/>
      <c r="AC49" s="129">
        <v>47</v>
      </c>
      <c r="AD49" s="130" t="str">
        <f t="shared" si="19"/>
        <v>Jiří Szturc</v>
      </c>
      <c r="AE49" s="130" t="str">
        <f t="shared" si="58"/>
        <v>Jiří Szturc</v>
      </c>
      <c r="AF49" s="130" t="str">
        <f t="shared" si="21"/>
        <v>Třinec</v>
      </c>
      <c r="AG49" s="131">
        <f t="shared" si="22"/>
        <v>111183206</v>
      </c>
      <c r="AH49" s="132" t="str">
        <f t="shared" si="23"/>
        <v>4T9 2203</v>
      </c>
      <c r="BM49" s="117">
        <f t="shared" si="59"/>
        <v>99</v>
      </c>
      <c r="BN49" s="117">
        <f t="shared" si="49"/>
        <v>1</v>
      </c>
    </row>
    <row r="50" spans="1:66" x14ac:dyDescent="0.25">
      <c r="A50" s="117">
        <f t="shared" si="56"/>
        <v>48</v>
      </c>
      <c r="B50" s="113" t="s">
        <v>118</v>
      </c>
      <c r="C50" s="21">
        <v>115546451</v>
      </c>
      <c r="D50" s="113" t="s">
        <v>168</v>
      </c>
      <c r="E50" s="113" t="s">
        <v>119</v>
      </c>
      <c r="F50" s="21">
        <v>1</v>
      </c>
      <c r="G50" s="113">
        <v>608179620</v>
      </c>
      <c r="I50" s="117">
        <f t="shared" si="2"/>
        <v>0</v>
      </c>
      <c r="J50" s="117">
        <f t="shared" si="3"/>
        <v>13</v>
      </c>
      <c r="K50" s="119" t="str">
        <f t="shared" si="4"/>
        <v>Školník Josef</v>
      </c>
      <c r="L50" s="117">
        <f t="shared" si="5"/>
        <v>13</v>
      </c>
      <c r="M50" s="117">
        <f t="shared" si="6"/>
        <v>8</v>
      </c>
      <c r="N50" s="117">
        <f t="shared" si="7"/>
        <v>0</v>
      </c>
      <c r="O50" s="117">
        <f t="shared" si="8"/>
        <v>0</v>
      </c>
      <c r="P50" s="117">
        <f t="shared" si="9"/>
        <v>8</v>
      </c>
      <c r="Q50" s="117"/>
      <c r="R50" s="119" t="str">
        <f t="shared" si="10"/>
        <v>Školník</v>
      </c>
      <c r="S50" s="119" t="str">
        <f t="shared" si="11"/>
        <v>Josef</v>
      </c>
      <c r="T50" s="117" t="str">
        <f t="shared" si="12"/>
        <v/>
      </c>
      <c r="U50" s="94">
        <f t="shared" si="13"/>
        <v>5</v>
      </c>
      <c r="V50" s="94">
        <f t="shared" si="14"/>
        <v>5</v>
      </c>
      <c r="W50" s="95" t="str">
        <f t="shared" si="15"/>
        <v>Josef</v>
      </c>
      <c r="Y50" s="117">
        <f t="shared" si="16"/>
        <v>24</v>
      </c>
      <c r="Z50" s="117">
        <f t="shared" si="17"/>
        <v>7</v>
      </c>
      <c r="AA50" s="112" t="str">
        <f t="shared" si="18"/>
        <v>Bílina</v>
      </c>
      <c r="AB50" s="112"/>
      <c r="AC50" s="129">
        <v>48</v>
      </c>
      <c r="AD50" s="130" t="str">
        <f t="shared" si="19"/>
        <v>Josef Školník</v>
      </c>
      <c r="AE50" s="130" t="str">
        <f t="shared" si="58"/>
        <v>Josef Školník</v>
      </c>
      <c r="AF50" s="130" t="str">
        <f t="shared" si="21"/>
        <v>Bílina</v>
      </c>
      <c r="AG50" s="131">
        <f t="shared" si="22"/>
        <v>115546451</v>
      </c>
      <c r="AH50" s="132" t="str">
        <f t="shared" si="23"/>
        <v>3U1 0545</v>
      </c>
      <c r="BM50" s="117">
        <f t="shared" si="59"/>
        <v>99</v>
      </c>
      <c r="BN50" s="117">
        <f t="shared" si="49"/>
        <v>1</v>
      </c>
    </row>
    <row r="51" spans="1:66" x14ac:dyDescent="0.25">
      <c r="A51" s="117">
        <f t="shared" si="56"/>
        <v>49</v>
      </c>
      <c r="B51" s="113" t="s">
        <v>120</v>
      </c>
      <c r="C51" s="21" t="s">
        <v>121</v>
      </c>
      <c r="D51" s="113" t="s">
        <v>169</v>
      </c>
      <c r="E51" s="113" t="s">
        <v>122</v>
      </c>
      <c r="F51" s="21">
        <v>1</v>
      </c>
      <c r="G51" s="113">
        <v>724254537</v>
      </c>
      <c r="I51" s="117">
        <f t="shared" si="2"/>
        <v>0</v>
      </c>
      <c r="J51" s="117">
        <f t="shared" si="3"/>
        <v>8</v>
      </c>
      <c r="K51" s="119" t="str">
        <f t="shared" si="4"/>
        <v>Šulc Jan</v>
      </c>
      <c r="L51" s="117">
        <f t="shared" si="5"/>
        <v>8</v>
      </c>
      <c r="M51" s="117">
        <f t="shared" si="6"/>
        <v>5</v>
      </c>
      <c r="N51" s="117">
        <f t="shared" si="7"/>
        <v>0</v>
      </c>
      <c r="O51" s="117">
        <f t="shared" si="8"/>
        <v>0</v>
      </c>
      <c r="P51" s="117">
        <f t="shared" si="9"/>
        <v>5</v>
      </c>
      <c r="Q51" s="117"/>
      <c r="R51" s="119" t="str">
        <f t="shared" si="10"/>
        <v>Šulc</v>
      </c>
      <c r="S51" s="119" t="str">
        <f t="shared" si="11"/>
        <v>Jan</v>
      </c>
      <c r="T51" s="117" t="str">
        <f t="shared" si="12"/>
        <v/>
      </c>
      <c r="U51" s="94">
        <f t="shared" si="13"/>
        <v>3</v>
      </c>
      <c r="V51" s="94">
        <f t="shared" si="14"/>
        <v>3</v>
      </c>
      <c r="W51" s="95" t="str">
        <f t="shared" si="15"/>
        <v>Jan</v>
      </c>
      <c r="Y51" s="117">
        <f t="shared" si="16"/>
        <v>10</v>
      </c>
      <c r="Z51" s="117">
        <f t="shared" si="17"/>
        <v>10</v>
      </c>
      <c r="AA51" s="112" t="str">
        <f t="shared" si="18"/>
        <v>Varnsdorf</v>
      </c>
      <c r="AB51" s="112"/>
      <c r="AC51" s="129">
        <v>49</v>
      </c>
      <c r="AD51" s="130" t="str">
        <f t="shared" si="19"/>
        <v>Jan Šulc</v>
      </c>
      <c r="AE51" s="130" t="str">
        <f t="shared" si="58"/>
        <v>Jan Šulc</v>
      </c>
      <c r="AF51" s="130" t="str">
        <f t="shared" si="21"/>
        <v>Varnsdorf</v>
      </c>
      <c r="AG51" s="131" t="str">
        <f t="shared" si="22"/>
        <v>LN 977395</v>
      </c>
      <c r="AH51" s="132" t="str">
        <f t="shared" si="23"/>
        <v>UL 2735</v>
      </c>
      <c r="BM51" s="117">
        <f t="shared" si="59"/>
        <v>99</v>
      </c>
      <c r="BN51" s="117">
        <f t="shared" si="49"/>
        <v>1</v>
      </c>
    </row>
    <row r="52" spans="1:66" x14ac:dyDescent="0.25">
      <c r="A52" s="117">
        <f t="shared" si="56"/>
        <v>50</v>
      </c>
      <c r="B52" s="113" t="s">
        <v>123</v>
      </c>
      <c r="C52" s="21">
        <v>110770157</v>
      </c>
      <c r="D52" s="113" t="s">
        <v>170</v>
      </c>
      <c r="E52" s="113" t="s">
        <v>124</v>
      </c>
      <c r="F52" s="21"/>
      <c r="G52" s="113">
        <v>725044979</v>
      </c>
      <c r="I52" s="117">
        <f t="shared" si="2"/>
        <v>0</v>
      </c>
      <c r="J52" s="117">
        <f t="shared" si="3"/>
        <v>13</v>
      </c>
      <c r="K52" s="119" t="str">
        <f t="shared" si="4"/>
        <v>Švejdová Anna</v>
      </c>
      <c r="L52" s="117">
        <f t="shared" si="5"/>
        <v>13</v>
      </c>
      <c r="M52" s="117">
        <f t="shared" si="6"/>
        <v>0</v>
      </c>
      <c r="N52" s="117">
        <f t="shared" si="7"/>
        <v>9</v>
      </c>
      <c r="O52" s="117">
        <f t="shared" si="8"/>
        <v>0</v>
      </c>
      <c r="P52" s="117">
        <f t="shared" si="9"/>
        <v>9</v>
      </c>
      <c r="Q52" s="117"/>
      <c r="R52" s="119" t="str">
        <f t="shared" si="10"/>
        <v>Švejdová</v>
      </c>
      <c r="S52" s="119" t="str">
        <f t="shared" si="11"/>
        <v>Anna</v>
      </c>
      <c r="T52" s="117" t="str">
        <f t="shared" si="12"/>
        <v/>
      </c>
      <c r="U52" s="94">
        <f t="shared" si="13"/>
        <v>4</v>
      </c>
      <c r="V52" s="94">
        <f t="shared" si="14"/>
        <v>4</v>
      </c>
      <c r="W52" s="95" t="str">
        <f t="shared" si="15"/>
        <v>Anna</v>
      </c>
      <c r="Y52" s="117">
        <f t="shared" si="16"/>
        <v>11</v>
      </c>
      <c r="Z52" s="117">
        <f t="shared" si="17"/>
        <v>8</v>
      </c>
      <c r="AA52" s="112" t="str">
        <f t="shared" si="18"/>
        <v>Liberec</v>
      </c>
      <c r="AB52" s="112"/>
      <c r="AC52" s="129">
        <v>50</v>
      </c>
      <c r="AD52" s="130" t="str">
        <f t="shared" si="19"/>
        <v>Anna Švejdová</v>
      </c>
      <c r="AE52" s="130" t="str">
        <f t="shared" si="58"/>
        <v>Anna Švejdová</v>
      </c>
      <c r="AF52" s="130" t="str">
        <f t="shared" si="21"/>
        <v>Liberec</v>
      </c>
      <c r="AG52" s="131">
        <f t="shared" si="22"/>
        <v>110770157</v>
      </c>
      <c r="AH52" s="132" t="str">
        <f t="shared" si="23"/>
        <v>1L3 9695</v>
      </c>
      <c r="BM52" s="117">
        <f t="shared" si="59"/>
        <v>99</v>
      </c>
      <c r="BN52" s="117">
        <f t="shared" si="49"/>
        <v>1</v>
      </c>
    </row>
    <row r="53" spans="1:66" x14ac:dyDescent="0.25">
      <c r="A53" s="117">
        <f t="shared" si="56"/>
        <v>51</v>
      </c>
      <c r="B53" s="113" t="s">
        <v>125</v>
      </c>
      <c r="C53" s="21" t="s">
        <v>126</v>
      </c>
      <c r="D53" s="113" t="s">
        <v>177</v>
      </c>
      <c r="E53" s="113" t="s">
        <v>127</v>
      </c>
      <c r="F53" s="21"/>
      <c r="G53" s="113">
        <v>775615997</v>
      </c>
      <c r="I53" s="117">
        <f t="shared" si="2"/>
        <v>0</v>
      </c>
      <c r="J53" s="117">
        <f t="shared" si="3"/>
        <v>15</v>
      </c>
      <c r="K53" s="119" t="str">
        <f t="shared" si="4"/>
        <v>Timofijev Anton</v>
      </c>
      <c r="L53" s="117">
        <f t="shared" si="5"/>
        <v>15</v>
      </c>
      <c r="M53" s="117">
        <f t="shared" si="6"/>
        <v>0</v>
      </c>
      <c r="N53" s="117">
        <f t="shared" si="7"/>
        <v>10</v>
      </c>
      <c r="O53" s="117">
        <f t="shared" si="8"/>
        <v>0</v>
      </c>
      <c r="P53" s="117">
        <f t="shared" si="9"/>
        <v>10</v>
      </c>
      <c r="Q53" s="117"/>
      <c r="R53" s="119" t="str">
        <f t="shared" si="10"/>
        <v>Timofijev</v>
      </c>
      <c r="S53" s="119" t="str">
        <f t="shared" si="11"/>
        <v>Anton</v>
      </c>
      <c r="T53" s="117" t="str">
        <f t="shared" si="12"/>
        <v/>
      </c>
      <c r="U53" s="94">
        <f t="shared" si="13"/>
        <v>5</v>
      </c>
      <c r="V53" s="94">
        <f t="shared" si="14"/>
        <v>5</v>
      </c>
      <c r="W53" s="95" t="str">
        <f t="shared" si="15"/>
        <v>Anton</v>
      </c>
      <c r="Y53" s="117">
        <f t="shared" si="16"/>
        <v>13</v>
      </c>
      <c r="Z53" s="117">
        <f t="shared" si="17"/>
        <v>13</v>
      </c>
      <c r="AA53" s="112" t="str">
        <f t="shared" si="18"/>
        <v>Suchdol n.O.</v>
      </c>
      <c r="AB53" s="112"/>
      <c r="AC53" s="129">
        <v>51</v>
      </c>
      <c r="AD53" s="130" t="str">
        <f t="shared" si="19"/>
        <v>Anton Timofijev</v>
      </c>
      <c r="AE53" s="130" t="str">
        <f t="shared" si="58"/>
        <v>Anton Timofijev</v>
      </c>
      <c r="AF53" s="130" t="str">
        <f t="shared" si="21"/>
        <v>Suchdol n.O.</v>
      </c>
      <c r="AG53" s="131" t="str">
        <f t="shared" si="22"/>
        <v>EC 735635</v>
      </c>
      <c r="AH53" s="132" t="str">
        <f t="shared" si="23"/>
        <v>5T7 1685</v>
      </c>
      <c r="BM53" s="117">
        <f t="shared" si="59"/>
        <v>99</v>
      </c>
      <c r="BN53" s="117">
        <f t="shared" si="49"/>
        <v>1</v>
      </c>
    </row>
    <row r="54" spans="1:66" x14ac:dyDescent="0.25">
      <c r="A54" s="117">
        <f t="shared" si="56"/>
        <v>52</v>
      </c>
      <c r="B54" s="113" t="s">
        <v>128</v>
      </c>
      <c r="C54" s="21">
        <v>102900276</v>
      </c>
      <c r="D54" s="113" t="s">
        <v>171</v>
      </c>
      <c r="E54" s="113" t="s">
        <v>129</v>
      </c>
      <c r="F54" s="21">
        <v>3</v>
      </c>
      <c r="G54" s="113">
        <v>723900872</v>
      </c>
      <c r="I54" s="117">
        <f t="shared" si="2"/>
        <v>0</v>
      </c>
      <c r="J54" s="117">
        <f t="shared" si="3"/>
        <v>12</v>
      </c>
      <c r="K54" s="119" t="str">
        <f t="shared" si="4"/>
        <v>Vališ Martin</v>
      </c>
      <c r="L54" s="117">
        <f t="shared" si="5"/>
        <v>12</v>
      </c>
      <c r="M54" s="117">
        <f t="shared" si="6"/>
        <v>6</v>
      </c>
      <c r="N54" s="117">
        <f t="shared" si="7"/>
        <v>0</v>
      </c>
      <c r="O54" s="117">
        <f t="shared" si="8"/>
        <v>0</v>
      </c>
      <c r="P54" s="117">
        <f t="shared" si="9"/>
        <v>6</v>
      </c>
      <c r="Q54" s="117"/>
      <c r="R54" s="119" t="str">
        <f t="shared" si="10"/>
        <v>Vališ</v>
      </c>
      <c r="S54" s="119" t="str">
        <f t="shared" si="11"/>
        <v>Martin</v>
      </c>
      <c r="T54" s="117" t="str">
        <f t="shared" si="12"/>
        <v/>
      </c>
      <c r="U54" s="94">
        <f t="shared" si="13"/>
        <v>6</v>
      </c>
      <c r="V54" s="94">
        <f t="shared" si="14"/>
        <v>6</v>
      </c>
      <c r="W54" s="95" t="str">
        <f t="shared" si="15"/>
        <v>Martin</v>
      </c>
      <c r="Y54" s="117">
        <f t="shared" si="16"/>
        <v>19</v>
      </c>
      <c r="Z54" s="117">
        <f t="shared" si="17"/>
        <v>8</v>
      </c>
      <c r="AA54" s="112" t="str">
        <f t="shared" si="18"/>
        <v>Hodonín</v>
      </c>
      <c r="AB54" s="112"/>
      <c r="AC54" s="129">
        <v>52</v>
      </c>
      <c r="AD54" s="130" t="str">
        <f t="shared" si="19"/>
        <v>Martin Vališ</v>
      </c>
      <c r="AE54" s="130" t="str">
        <f t="shared" si="58"/>
        <v>Martin Vališ</v>
      </c>
      <c r="AF54" s="130" t="str">
        <f t="shared" si="21"/>
        <v>Hodonín</v>
      </c>
      <c r="AG54" s="131">
        <f t="shared" si="22"/>
        <v>102900276</v>
      </c>
      <c r="AH54" s="132" t="str">
        <f t="shared" si="23"/>
        <v>HOE 44-76</v>
      </c>
      <c r="BM54" s="117">
        <f t="shared" si="59"/>
        <v>99</v>
      </c>
      <c r="BN54" s="117">
        <f t="shared" si="49"/>
        <v>1</v>
      </c>
    </row>
    <row r="55" spans="1:66" x14ac:dyDescent="0.25">
      <c r="A55" s="117">
        <f t="shared" si="56"/>
        <v>53</v>
      </c>
      <c r="B55" s="114" t="s">
        <v>130</v>
      </c>
      <c r="C55" s="21"/>
      <c r="D55" s="114" t="s">
        <v>172</v>
      </c>
      <c r="E55" s="113"/>
      <c r="F55" s="115">
        <v>3</v>
      </c>
      <c r="G55" s="113">
        <v>602386671</v>
      </c>
      <c r="I55" s="117">
        <f t="shared" si="2"/>
        <v>0</v>
      </c>
      <c r="J55" s="117">
        <f t="shared" si="3"/>
        <v>16</v>
      </c>
      <c r="K55" s="119" t="str">
        <f t="shared" si="4"/>
        <v>Vejsada Jindřich</v>
      </c>
      <c r="L55" s="117">
        <f t="shared" si="5"/>
        <v>16</v>
      </c>
      <c r="M55" s="117">
        <f t="shared" si="6"/>
        <v>8</v>
      </c>
      <c r="N55" s="117">
        <f t="shared" si="7"/>
        <v>0</v>
      </c>
      <c r="O55" s="117">
        <f t="shared" si="8"/>
        <v>0</v>
      </c>
      <c r="P55" s="117">
        <f t="shared" si="9"/>
        <v>8</v>
      </c>
      <c r="Q55" s="117"/>
      <c r="R55" s="119" t="str">
        <f t="shared" si="10"/>
        <v>Vejsada</v>
      </c>
      <c r="S55" s="119" t="str">
        <f t="shared" si="11"/>
        <v>Jindřich</v>
      </c>
      <c r="T55" s="117" t="str">
        <f t="shared" si="12"/>
        <v/>
      </c>
      <c r="U55" s="94">
        <f t="shared" si="13"/>
        <v>8</v>
      </c>
      <c r="V55" s="94">
        <f t="shared" si="14"/>
        <v>8</v>
      </c>
      <c r="W55" s="95" t="str">
        <f t="shared" si="15"/>
        <v>Jindřich</v>
      </c>
      <c r="Y55" s="117">
        <f t="shared" si="16"/>
        <v>24</v>
      </c>
      <c r="Z55" s="117">
        <f t="shared" si="17"/>
        <v>9</v>
      </c>
      <c r="AA55" s="112" t="str">
        <f t="shared" si="18"/>
        <v>Praha 10</v>
      </c>
      <c r="AB55" s="112"/>
      <c r="AC55" s="129">
        <v>53</v>
      </c>
      <c r="AD55" s="130" t="str">
        <f t="shared" si="19"/>
        <v>Jindřich Vejsada</v>
      </c>
      <c r="AE55" s="130" t="str">
        <f t="shared" si="58"/>
        <v>Jindřich Vejsada</v>
      </c>
      <c r="AF55" s="130" t="str">
        <f t="shared" si="21"/>
        <v>Praha 10</v>
      </c>
      <c r="AG55" s="131" t="str">
        <f t="shared" si="22"/>
        <v/>
      </c>
      <c r="AH55" s="132" t="str">
        <f t="shared" si="23"/>
        <v/>
      </c>
      <c r="BM55" s="117">
        <f t="shared" si="59"/>
        <v>99</v>
      </c>
      <c r="BN55" s="117">
        <f t="shared" si="49"/>
        <v>1</v>
      </c>
    </row>
    <row r="56" spans="1:66" x14ac:dyDescent="0.25">
      <c r="A56" s="117">
        <f t="shared" si="56"/>
        <v>54</v>
      </c>
      <c r="B56" s="113" t="s">
        <v>131</v>
      </c>
      <c r="C56" s="21">
        <v>110810129</v>
      </c>
      <c r="D56" s="113" t="s">
        <v>173</v>
      </c>
      <c r="E56" s="113" t="s">
        <v>132</v>
      </c>
      <c r="F56" s="21">
        <v>3</v>
      </c>
      <c r="G56" s="113">
        <v>737754861</v>
      </c>
      <c r="I56" s="117">
        <f t="shared" si="2"/>
        <v>0</v>
      </c>
      <c r="J56" s="117">
        <f t="shared" si="3"/>
        <v>14</v>
      </c>
      <c r="K56" s="119" t="str">
        <f t="shared" si="4"/>
        <v>Zachariáš Jiří</v>
      </c>
      <c r="L56" s="117">
        <f t="shared" si="5"/>
        <v>14</v>
      </c>
      <c r="M56" s="117">
        <f t="shared" si="6"/>
        <v>0</v>
      </c>
      <c r="N56" s="117">
        <f t="shared" si="7"/>
        <v>10</v>
      </c>
      <c r="O56" s="117">
        <f t="shared" si="8"/>
        <v>0</v>
      </c>
      <c r="P56" s="117">
        <f t="shared" si="9"/>
        <v>10</v>
      </c>
      <c r="Q56" s="117"/>
      <c r="R56" s="119" t="str">
        <f t="shared" si="10"/>
        <v>Zachariáš</v>
      </c>
      <c r="S56" s="119" t="str">
        <f>IF(B56="","",(IF(I56=0,(MID(K56,P56+1,J56-P56)),(MID(K56,P56+1,J56-P56-1)))))</f>
        <v>Jiří</v>
      </c>
      <c r="T56" s="117" t="str">
        <f t="shared" si="12"/>
        <v/>
      </c>
      <c r="U56" s="94">
        <f t="shared" ref="U56:U102" si="83">LEN(S56)</f>
        <v>4</v>
      </c>
      <c r="V56" s="94">
        <f t="shared" ref="V56:V102" si="84">IF(T56="",U56,U56-1)</f>
        <v>4</v>
      </c>
      <c r="W56" s="95" t="str">
        <f>MID(S56,1,V56)</f>
        <v>Jiří</v>
      </c>
      <c r="Y56" s="117">
        <f t="shared" ref="Y56:Y102" si="85">LEN(D56)</f>
        <v>34</v>
      </c>
      <c r="Z56" s="117">
        <f t="shared" ref="Z56:Z102" si="86">IF((MID(D56,1,1))=",",1,IF((MID(D56,2,1))=",",2,IF((MID(D56,3,1))=",",3,IF((MID(D56,4,1))=",",4,IF((MID(D56,5,1))=",",5,IF((MID(D56,6,1))=",",6,IF((MID(D56,7,1))=",",7,IF((MID(D56,8,1))=",",8,0))))))))+IF((MID(D56,9,1))=",",9,IF((MID(D56,10,1))=",",10,IF((MID(D56,11,1))=",",11,IF((MID(D56,12,1))=",",12,IF((MID(D56,13,1))=",",13,IF((MID(D56,14,1))=",",14,IF((MID(D56,15,1))=",",15,IF((MID(D56,16,1))=",",16,0))))))))+IF((MID(D56,17,1))=",",17,IF((MID(D56,18,1))=",",18,IF((MID(D56,19,1))=",",19,IF((MID(D56,20,1))=",",20,IF((MID(D56,21,1))=",",21,IF((MID(D56,22,1))=",",22,IF((MID(D56,23,1))=",",23,IF((MID(D56,24,1))=",",24,0))))))))</f>
        <v>15</v>
      </c>
      <c r="AA56" s="112" t="str">
        <f t="shared" si="18"/>
        <v>Havlíčkův Brod</v>
      </c>
      <c r="AB56" s="112"/>
      <c r="AC56" s="129">
        <v>54</v>
      </c>
      <c r="AD56" s="130" t="str">
        <f>IF(I56=3,(CONCATENATE(W56," ",R56," ",T56)),(IF(I56=0,(CONCATENATE(W56," ",R56)),(CONCATENATE(T56," ",W56," ",R56)))))</f>
        <v>Jiří Zachariáš</v>
      </c>
      <c r="AE56" s="130" t="str">
        <f>(CONCATENATE(W56," ",R56))</f>
        <v>Jiří Zachariáš</v>
      </c>
      <c r="AF56" s="130" t="str">
        <f t="shared" ref="AF56:AF58" si="87">AA56</f>
        <v>Havlíčkův Brod</v>
      </c>
      <c r="AG56" s="131">
        <f t="shared" ref="AG56:AG58" si="88">IF((C56)="","",C56)</f>
        <v>110810129</v>
      </c>
      <c r="AH56" s="132" t="str">
        <f t="shared" ref="AH56:AH58" si="89">IF((E56)="","",E56)</f>
        <v>2J9 2697</v>
      </c>
      <c r="BM56" s="117">
        <f t="shared" si="59"/>
        <v>99</v>
      </c>
      <c r="BN56" s="117">
        <f t="shared" si="49"/>
        <v>1</v>
      </c>
    </row>
    <row r="57" spans="1:66" x14ac:dyDescent="0.25">
      <c r="A57" s="117">
        <f t="shared" si="56"/>
        <v>55</v>
      </c>
      <c r="B57" s="113" t="s">
        <v>133</v>
      </c>
      <c r="C57" s="21">
        <v>100624878</v>
      </c>
      <c r="D57" s="113" t="s">
        <v>174</v>
      </c>
      <c r="E57" s="113" t="s">
        <v>134</v>
      </c>
      <c r="F57" s="21">
        <v>3</v>
      </c>
      <c r="G57" s="113"/>
      <c r="I57" s="117">
        <f t="shared" si="2"/>
        <v>0</v>
      </c>
      <c r="J57" s="117">
        <f t="shared" si="3"/>
        <v>14</v>
      </c>
      <c r="K57" s="119" t="str">
        <f t="shared" si="4"/>
        <v>Žáček Miroslav</v>
      </c>
      <c r="L57" s="117">
        <f t="shared" si="5"/>
        <v>14</v>
      </c>
      <c r="M57" s="117">
        <f t="shared" si="6"/>
        <v>6</v>
      </c>
      <c r="N57" s="117">
        <f t="shared" si="7"/>
        <v>0</v>
      </c>
      <c r="O57" s="117">
        <f t="shared" si="8"/>
        <v>0</v>
      </c>
      <c r="P57" s="117">
        <f t="shared" si="9"/>
        <v>6</v>
      </c>
      <c r="Q57" s="117"/>
      <c r="R57" s="119" t="str">
        <f t="shared" si="10"/>
        <v>Žáček</v>
      </c>
      <c r="S57" s="119" t="str">
        <f t="shared" si="11"/>
        <v>Miroslav</v>
      </c>
      <c r="T57" s="117" t="str">
        <f t="shared" si="12"/>
        <v/>
      </c>
      <c r="U57" s="94">
        <f t="shared" si="83"/>
        <v>8</v>
      </c>
      <c r="V57" s="94">
        <f t="shared" si="84"/>
        <v>8</v>
      </c>
      <c r="W57" s="95" t="str">
        <f t="shared" ref="W57:W102" si="90">MID(S57,1,V57)</f>
        <v>Miroslav</v>
      </c>
      <c r="Y57" s="117">
        <f t="shared" si="85"/>
        <v>19</v>
      </c>
      <c r="Z57" s="117">
        <f t="shared" si="86"/>
        <v>5</v>
      </c>
      <c r="AA57" s="112" t="str">
        <f t="shared" si="18"/>
        <v>Brno</v>
      </c>
      <c r="AB57" s="112"/>
      <c r="AC57" s="129">
        <v>55</v>
      </c>
      <c r="AD57" s="130" t="str">
        <f t="shared" ref="AD57:AD58" si="91">IF(I57=3,(CONCATENATE(W57," ",R57," ",T57)),(IF(I57=0,(CONCATENATE(W57," ",R57)),(CONCATENATE(T57," ",W57," ",R57)))))</f>
        <v>Miroslav Žáček</v>
      </c>
      <c r="AE57" s="130" t="str">
        <f t="shared" ref="AE57:AE58" si="92">(CONCATENATE(W57," ",R57))</f>
        <v>Miroslav Žáček</v>
      </c>
      <c r="AF57" s="130" t="str">
        <f t="shared" si="87"/>
        <v>Brno</v>
      </c>
      <c r="AG57" s="131">
        <f t="shared" si="88"/>
        <v>100624878</v>
      </c>
      <c r="AH57" s="132" t="str">
        <f t="shared" si="89"/>
        <v>BZP 4115</v>
      </c>
      <c r="BM57" s="117">
        <f t="shared" si="59"/>
        <v>99</v>
      </c>
      <c r="BN57" s="117">
        <f t="shared" si="49"/>
        <v>1</v>
      </c>
    </row>
    <row r="58" spans="1:66" x14ac:dyDescent="0.25">
      <c r="A58" s="117">
        <f t="shared" si="56"/>
        <v>56</v>
      </c>
      <c r="B58" s="114" t="s">
        <v>135</v>
      </c>
      <c r="C58" s="21">
        <v>104534444</v>
      </c>
      <c r="D58" s="114" t="s">
        <v>175</v>
      </c>
      <c r="E58" s="114" t="s">
        <v>136</v>
      </c>
      <c r="F58" s="21"/>
      <c r="G58" s="114">
        <v>606642248</v>
      </c>
      <c r="I58" s="117">
        <f t="shared" si="2"/>
        <v>0</v>
      </c>
      <c r="J58" s="117">
        <f t="shared" si="3"/>
        <v>10</v>
      </c>
      <c r="K58" s="119" t="str">
        <f t="shared" si="4"/>
        <v>Živný Petr</v>
      </c>
      <c r="L58" s="117">
        <f t="shared" si="5"/>
        <v>10</v>
      </c>
      <c r="M58" s="117">
        <f t="shared" si="6"/>
        <v>6</v>
      </c>
      <c r="N58" s="117">
        <f t="shared" si="7"/>
        <v>0</v>
      </c>
      <c r="O58" s="117">
        <f t="shared" si="8"/>
        <v>0</v>
      </c>
      <c r="P58" s="117">
        <f t="shared" si="9"/>
        <v>6</v>
      </c>
      <c r="Q58" s="117"/>
      <c r="R58" s="119" t="str">
        <f t="shared" si="10"/>
        <v>Živný</v>
      </c>
      <c r="S58" s="119" t="str">
        <f t="shared" si="11"/>
        <v>Petr</v>
      </c>
      <c r="T58" s="117" t="str">
        <f t="shared" si="12"/>
        <v/>
      </c>
      <c r="U58" s="94">
        <f t="shared" si="83"/>
        <v>4</v>
      </c>
      <c r="V58" s="94">
        <f t="shared" si="84"/>
        <v>4</v>
      </c>
      <c r="W58" s="95" t="str">
        <f t="shared" si="90"/>
        <v>Petr</v>
      </c>
      <c r="Y58" s="117">
        <f t="shared" si="85"/>
        <v>20</v>
      </c>
      <c r="Z58" s="117">
        <f t="shared" si="86"/>
        <v>6</v>
      </c>
      <c r="AA58" s="112" t="str">
        <f t="shared" si="18"/>
        <v>Plzeň</v>
      </c>
      <c r="AC58" s="129">
        <v>56</v>
      </c>
      <c r="AD58" s="130" t="str">
        <f t="shared" si="91"/>
        <v>Petr Živný</v>
      </c>
      <c r="AE58" s="130" t="str">
        <f t="shared" si="92"/>
        <v>Petr Živný</v>
      </c>
      <c r="AF58" s="130" t="str">
        <f t="shared" si="87"/>
        <v>Plzeň</v>
      </c>
      <c r="AG58" s="131">
        <f t="shared" si="88"/>
        <v>104534444</v>
      </c>
      <c r="AH58" s="132" t="str">
        <f t="shared" si="89"/>
        <v>3P8 9466</v>
      </c>
      <c r="BM58" s="117">
        <f t="shared" si="59"/>
        <v>99</v>
      </c>
      <c r="BN58" s="117">
        <f t="shared" si="49"/>
        <v>1</v>
      </c>
    </row>
    <row r="59" spans="1:66" x14ac:dyDescent="0.25">
      <c r="A59" s="117">
        <f t="shared" si="56"/>
        <v>57</v>
      </c>
      <c r="B59" s="113" t="s">
        <v>225</v>
      </c>
      <c r="C59" s="151">
        <v>202380341</v>
      </c>
      <c r="D59" s="113"/>
      <c r="E59" s="152" t="s">
        <v>226</v>
      </c>
      <c r="F59" s="21"/>
      <c r="G59" s="113">
        <v>734678905</v>
      </c>
      <c r="I59" s="117">
        <f t="shared" si="2"/>
        <v>0</v>
      </c>
      <c r="J59" s="117">
        <f t="shared" si="3"/>
        <v>15</v>
      </c>
      <c r="K59" s="119" t="str">
        <f t="shared" si="4"/>
        <v>Maslej Alexandr</v>
      </c>
      <c r="L59" s="117">
        <f t="shared" si="5"/>
        <v>15</v>
      </c>
      <c r="M59" s="117">
        <f t="shared" ref="M59:M102" si="93">IF((MID(K59,1,1))=" ",1,IF((MID(K59,2,1))=" ",2,IF((MID(K59,3,1))=" ",3,IF((MID(K59,4,1))=" ",4,IF((MID(K59,5,1))=" ",5,IF((MID(K59,6,1))=" ",6,IF((MID(K59,7,1))=" ",7,IF((MID(K59,8,1))=" ",8,0))))))))</f>
        <v>7</v>
      </c>
      <c r="N59" s="117">
        <f t="shared" ref="N59:N102" si="94">IF((MID(K59,9,1))=" ",9,IF((MID(K59,10,1))=" ",10,IF((MID(K59,11,1))=" ",11,IF((MID(K59,12,1))=" ",12,IF((MID(K59,13,1))=" ",13,IF((MID(K59,14,1))=" ",14,IF((MID(K59,15,1))=" ",15,IF((MID(K59,16,1))=" ",16,0))))))))</f>
        <v>0</v>
      </c>
      <c r="O59" s="117">
        <f t="shared" ref="O59:O102" si="95">IF((MID(K59,17,1))=" ",17,IF((MID(K59,18,1))=" ",18,IF((MID(K59,19,1))=" ",19,IF((MID(K59,20,1))=" ",20,IF((MID(K59,21,1))=" ",21,IF((MID(K59,22,1))=" ",22,IF((MID(K59,23,1))=" ",23,IF((MID(K59,24,1))=" ",24,0))))))))</f>
        <v>0</v>
      </c>
      <c r="P59" s="117">
        <f t="shared" si="9"/>
        <v>7</v>
      </c>
      <c r="Q59" s="117"/>
      <c r="R59" s="119" t="str">
        <f t="shared" si="10"/>
        <v>Maslej</v>
      </c>
      <c r="S59" s="119" t="str">
        <f t="shared" si="11"/>
        <v>Alexandr</v>
      </c>
      <c r="T59" s="117" t="str">
        <f t="shared" si="12"/>
        <v/>
      </c>
      <c r="U59" s="94">
        <f t="shared" si="83"/>
        <v>8</v>
      </c>
      <c r="V59" s="94">
        <f t="shared" si="84"/>
        <v>8</v>
      </c>
      <c r="W59" s="95" t="str">
        <f t="shared" si="90"/>
        <v>Alexandr</v>
      </c>
      <c r="Y59" s="117">
        <f t="shared" si="85"/>
        <v>0</v>
      </c>
      <c r="Z59" s="117">
        <f t="shared" si="86"/>
        <v>0</v>
      </c>
      <c r="AA59" s="112" t="e">
        <f t="shared" si="18"/>
        <v>#VALUE!</v>
      </c>
      <c r="AC59" s="129">
        <v>57</v>
      </c>
      <c r="AD59" s="130" t="str">
        <f t="shared" ref="AD59:AD102" si="96">IF(I59=3,(CONCATENATE(W59," ",R59," ",T59)),(IF(I59=0,(CONCATENATE(W59," ",R59)),(CONCATENATE(T59," ",W59," ",R59)))))</f>
        <v>Alexandr Maslej</v>
      </c>
      <c r="AE59" s="130" t="str">
        <f t="shared" ref="AE59:AE102" si="97">(CONCATENATE(W59," ",R59))</f>
        <v>Alexandr Maslej</v>
      </c>
      <c r="AF59" s="130" t="e">
        <f t="shared" ref="AF59:AF102" si="98">AA59</f>
        <v>#VALUE!</v>
      </c>
      <c r="AG59" s="131">
        <f t="shared" ref="AG59:AG102" si="99">IF((C59)="","",C59)</f>
        <v>202380341</v>
      </c>
      <c r="AH59" s="132" t="str">
        <f t="shared" ref="AH59:AH102" si="100">IF((E59)="","",E59)</f>
        <v>5U0 3488</v>
      </c>
      <c r="BM59" s="117">
        <f t="shared" si="59"/>
        <v>99</v>
      </c>
      <c r="BN59" s="117">
        <f t="shared" si="49"/>
        <v>1</v>
      </c>
    </row>
    <row r="60" spans="1:66" x14ac:dyDescent="0.25">
      <c r="A60" s="117">
        <f t="shared" si="56"/>
        <v>58</v>
      </c>
      <c r="B60" s="113" t="s">
        <v>227</v>
      </c>
      <c r="C60" s="151">
        <v>112944527</v>
      </c>
      <c r="D60" s="113"/>
      <c r="E60" s="152" t="s">
        <v>228</v>
      </c>
      <c r="F60" s="21"/>
      <c r="G60" s="113"/>
      <c r="I60" s="117">
        <f t="shared" si="2"/>
        <v>0</v>
      </c>
      <c r="J60" s="117">
        <f t="shared" si="3"/>
        <v>11</v>
      </c>
      <c r="K60" s="119" t="str">
        <f t="shared" si="4"/>
        <v>Godawa Jiří</v>
      </c>
      <c r="L60" s="117">
        <f t="shared" si="5"/>
        <v>11</v>
      </c>
      <c r="M60" s="117">
        <f t="shared" si="93"/>
        <v>7</v>
      </c>
      <c r="N60" s="117">
        <f t="shared" si="94"/>
        <v>0</v>
      </c>
      <c r="O60" s="117">
        <f t="shared" si="95"/>
        <v>0</v>
      </c>
      <c r="P60" s="117">
        <f t="shared" si="9"/>
        <v>7</v>
      </c>
      <c r="Q60" s="117"/>
      <c r="R60" s="119" t="str">
        <f t="shared" si="10"/>
        <v>Godawa</v>
      </c>
      <c r="S60" s="119" t="str">
        <f t="shared" si="11"/>
        <v>Jiří</v>
      </c>
      <c r="T60" s="117" t="str">
        <f t="shared" si="12"/>
        <v/>
      </c>
      <c r="U60" s="94">
        <f t="shared" si="83"/>
        <v>4</v>
      </c>
      <c r="V60" s="94">
        <f t="shared" si="84"/>
        <v>4</v>
      </c>
      <c r="W60" s="95" t="str">
        <f t="shared" si="90"/>
        <v>Jiří</v>
      </c>
      <c r="Y60" s="117">
        <f t="shared" si="85"/>
        <v>0</v>
      </c>
      <c r="Z60" s="117">
        <f t="shared" si="86"/>
        <v>0</v>
      </c>
      <c r="AA60" s="112" t="e">
        <f t="shared" si="18"/>
        <v>#VALUE!</v>
      </c>
      <c r="AC60" s="129">
        <v>58</v>
      </c>
      <c r="AD60" s="130" t="str">
        <f t="shared" si="96"/>
        <v>Jiří Godawa</v>
      </c>
      <c r="AE60" s="130" t="str">
        <f t="shared" si="97"/>
        <v>Jiří Godawa</v>
      </c>
      <c r="AF60" s="130" t="e">
        <f t="shared" si="98"/>
        <v>#VALUE!</v>
      </c>
      <c r="AG60" s="131">
        <f t="shared" si="99"/>
        <v>112944527</v>
      </c>
      <c r="AH60" s="132" t="str">
        <f t="shared" si="100"/>
        <v>5P3 8237</v>
      </c>
      <c r="BM60" s="117">
        <f t="shared" si="59"/>
        <v>99</v>
      </c>
      <c r="BN60" s="117">
        <f t="shared" si="49"/>
        <v>1</v>
      </c>
    </row>
    <row r="61" spans="1:66" x14ac:dyDescent="0.25">
      <c r="A61" s="117">
        <f t="shared" si="56"/>
        <v>59</v>
      </c>
      <c r="B61" s="113" t="s">
        <v>229</v>
      </c>
      <c r="C61" s="151">
        <v>201458112</v>
      </c>
      <c r="D61" s="113" t="s">
        <v>231</v>
      </c>
      <c r="E61" s="152" t="s">
        <v>230</v>
      </c>
      <c r="F61" s="21"/>
      <c r="G61" s="113">
        <v>775919266</v>
      </c>
      <c r="I61" s="117">
        <f t="shared" si="2"/>
        <v>0</v>
      </c>
      <c r="J61" s="117">
        <f t="shared" si="3"/>
        <v>12</v>
      </c>
      <c r="K61" s="119" t="str">
        <f t="shared" si="4"/>
        <v>Dvořák Karel</v>
      </c>
      <c r="L61" s="117">
        <f t="shared" si="5"/>
        <v>12</v>
      </c>
      <c r="M61" s="117">
        <f t="shared" si="93"/>
        <v>7</v>
      </c>
      <c r="N61" s="117">
        <f t="shared" si="94"/>
        <v>0</v>
      </c>
      <c r="O61" s="117">
        <f t="shared" si="95"/>
        <v>0</v>
      </c>
      <c r="P61" s="117">
        <f t="shared" si="9"/>
        <v>7</v>
      </c>
      <c r="Q61" s="117"/>
      <c r="R61" s="119" t="str">
        <f t="shared" si="10"/>
        <v>Dvořák</v>
      </c>
      <c r="S61" s="119" t="str">
        <f t="shared" si="11"/>
        <v>Karel</v>
      </c>
      <c r="T61" s="117" t="str">
        <f t="shared" si="12"/>
        <v/>
      </c>
      <c r="U61" s="94">
        <f t="shared" si="83"/>
        <v>5</v>
      </c>
      <c r="V61" s="94">
        <f t="shared" si="84"/>
        <v>5</v>
      </c>
      <c r="W61" s="95" t="str">
        <f t="shared" si="90"/>
        <v>Karel</v>
      </c>
      <c r="Y61" s="117">
        <f t="shared" si="85"/>
        <v>29</v>
      </c>
      <c r="Z61" s="117">
        <f t="shared" si="86"/>
        <v>12</v>
      </c>
      <c r="AA61" s="112" t="str">
        <f t="shared" si="18"/>
        <v>Krásná Lípa</v>
      </c>
      <c r="AC61" s="129">
        <v>59</v>
      </c>
      <c r="AD61" s="130" t="str">
        <f t="shared" si="96"/>
        <v>Karel Dvořák</v>
      </c>
      <c r="AE61" s="130" t="str">
        <f t="shared" si="97"/>
        <v>Karel Dvořák</v>
      </c>
      <c r="AF61" s="130" t="str">
        <f t="shared" si="98"/>
        <v>Krásná Lípa</v>
      </c>
      <c r="AG61" s="131">
        <f t="shared" si="99"/>
        <v>201458112</v>
      </c>
      <c r="AH61" s="132" t="str">
        <f t="shared" si="100"/>
        <v>4U4 1330</v>
      </c>
      <c r="BM61" s="117">
        <f t="shared" si="59"/>
        <v>99</v>
      </c>
      <c r="BN61" s="117">
        <f t="shared" si="49"/>
        <v>1</v>
      </c>
    </row>
    <row r="62" spans="1:66" x14ac:dyDescent="0.25">
      <c r="A62" s="117">
        <f t="shared" si="56"/>
        <v>60</v>
      </c>
      <c r="B62" s="113"/>
      <c r="C62" s="21"/>
      <c r="D62" s="113"/>
      <c r="E62" s="113"/>
      <c r="F62" s="21"/>
      <c r="G62" s="113"/>
      <c r="I62" s="117" t="str">
        <f t="shared" si="2"/>
        <v/>
      </c>
      <c r="J62" s="117" t="str">
        <f t="shared" si="3"/>
        <v/>
      </c>
      <c r="K62" s="119" t="str">
        <f t="shared" si="4"/>
        <v/>
      </c>
      <c r="L62" s="117" t="str">
        <f t="shared" si="5"/>
        <v/>
      </c>
      <c r="M62" s="117">
        <f t="shared" si="93"/>
        <v>0</v>
      </c>
      <c r="N62" s="117">
        <f t="shared" si="94"/>
        <v>0</v>
      </c>
      <c r="O62" s="117">
        <f t="shared" si="95"/>
        <v>0</v>
      </c>
      <c r="P62" s="117">
        <f t="shared" si="9"/>
        <v>0</v>
      </c>
      <c r="Q62" s="117"/>
      <c r="R62" s="119" t="str">
        <f t="shared" si="10"/>
        <v/>
      </c>
      <c r="S62" s="119" t="str">
        <f t="shared" si="11"/>
        <v/>
      </c>
      <c r="T62" s="117" t="str">
        <f t="shared" si="12"/>
        <v/>
      </c>
      <c r="U62" s="94">
        <f t="shared" si="83"/>
        <v>0</v>
      </c>
      <c r="V62" s="94">
        <f t="shared" si="84"/>
        <v>0</v>
      </c>
      <c r="W62" s="95" t="str">
        <f t="shared" si="90"/>
        <v/>
      </c>
      <c r="Y62" s="117">
        <f t="shared" si="85"/>
        <v>0</v>
      </c>
      <c r="Z62" s="117">
        <f t="shared" si="86"/>
        <v>0</v>
      </c>
      <c r="AA62" s="112" t="str">
        <f t="shared" si="18"/>
        <v/>
      </c>
      <c r="AC62" s="129">
        <v>60</v>
      </c>
      <c r="AD62" s="130" t="str">
        <f t="shared" si="96"/>
        <v xml:space="preserve">  </v>
      </c>
      <c r="AE62" s="130" t="str">
        <f t="shared" si="97"/>
        <v xml:space="preserve"> </v>
      </c>
      <c r="AF62" s="130" t="str">
        <f t="shared" si="98"/>
        <v/>
      </c>
      <c r="AG62" s="131" t="str">
        <f t="shared" si="99"/>
        <v/>
      </c>
      <c r="AH62" s="132" t="str">
        <f t="shared" si="100"/>
        <v/>
      </c>
      <c r="BM62" s="117">
        <f t="shared" si="59"/>
        <v>99</v>
      </c>
      <c r="BN62" s="117">
        <f t="shared" si="49"/>
        <v>1</v>
      </c>
    </row>
    <row r="63" spans="1:66" x14ac:dyDescent="0.25">
      <c r="A63" s="117">
        <f t="shared" si="56"/>
        <v>61</v>
      </c>
      <c r="B63" s="113"/>
      <c r="C63" s="21"/>
      <c r="D63" s="113"/>
      <c r="E63" s="113"/>
      <c r="F63" s="21"/>
      <c r="G63" s="113"/>
      <c r="I63" s="117" t="str">
        <f t="shared" si="2"/>
        <v/>
      </c>
      <c r="J63" s="117" t="str">
        <f t="shared" si="3"/>
        <v/>
      </c>
      <c r="K63" s="119" t="str">
        <f t="shared" si="4"/>
        <v/>
      </c>
      <c r="L63" s="117" t="str">
        <f t="shared" si="5"/>
        <v/>
      </c>
      <c r="M63" s="117">
        <f t="shared" si="93"/>
        <v>0</v>
      </c>
      <c r="N63" s="117">
        <f t="shared" si="94"/>
        <v>0</v>
      </c>
      <c r="O63" s="117">
        <f t="shared" si="95"/>
        <v>0</v>
      </c>
      <c r="P63" s="117">
        <f t="shared" si="9"/>
        <v>0</v>
      </c>
      <c r="Q63" s="117"/>
      <c r="R63" s="119" t="str">
        <f t="shared" si="10"/>
        <v/>
      </c>
      <c r="S63" s="119" t="str">
        <f t="shared" si="11"/>
        <v/>
      </c>
      <c r="T63" s="117" t="str">
        <f t="shared" si="12"/>
        <v/>
      </c>
      <c r="U63" s="94">
        <f t="shared" si="83"/>
        <v>0</v>
      </c>
      <c r="V63" s="94">
        <f t="shared" si="84"/>
        <v>0</v>
      </c>
      <c r="W63" s="95" t="str">
        <f t="shared" si="90"/>
        <v/>
      </c>
      <c r="Y63" s="117">
        <f t="shared" si="85"/>
        <v>0</v>
      </c>
      <c r="Z63" s="117">
        <f t="shared" si="86"/>
        <v>0</v>
      </c>
      <c r="AA63" s="112" t="str">
        <f t="shared" si="18"/>
        <v/>
      </c>
      <c r="AC63" s="129">
        <v>61</v>
      </c>
      <c r="AD63" s="130" t="str">
        <f t="shared" si="96"/>
        <v xml:space="preserve">  </v>
      </c>
      <c r="AE63" s="130" t="str">
        <f t="shared" si="97"/>
        <v xml:space="preserve"> </v>
      </c>
      <c r="AF63" s="130" t="str">
        <f t="shared" si="98"/>
        <v/>
      </c>
      <c r="AG63" s="131" t="str">
        <f t="shared" si="99"/>
        <v/>
      </c>
      <c r="AH63" s="132" t="str">
        <f t="shared" si="100"/>
        <v/>
      </c>
      <c r="BM63" s="117">
        <f t="shared" si="59"/>
        <v>99</v>
      </c>
      <c r="BN63" s="117">
        <f t="shared" si="49"/>
        <v>1</v>
      </c>
    </row>
    <row r="64" spans="1:66" x14ac:dyDescent="0.25">
      <c r="A64" s="117">
        <f t="shared" si="56"/>
        <v>62</v>
      </c>
      <c r="B64" s="113"/>
      <c r="C64" s="21"/>
      <c r="D64" s="113"/>
      <c r="E64" s="113"/>
      <c r="F64" s="21"/>
      <c r="G64" s="113"/>
      <c r="I64" s="117" t="str">
        <f t="shared" si="2"/>
        <v/>
      </c>
      <c r="J64" s="117" t="str">
        <f t="shared" si="3"/>
        <v/>
      </c>
      <c r="K64" s="119" t="str">
        <f t="shared" si="4"/>
        <v/>
      </c>
      <c r="L64" s="117" t="str">
        <f t="shared" si="5"/>
        <v/>
      </c>
      <c r="M64" s="117">
        <f t="shared" si="93"/>
        <v>0</v>
      </c>
      <c r="N64" s="117">
        <f t="shared" si="94"/>
        <v>0</v>
      </c>
      <c r="O64" s="117">
        <f t="shared" si="95"/>
        <v>0</v>
      </c>
      <c r="P64" s="117">
        <f t="shared" si="9"/>
        <v>0</v>
      </c>
      <c r="Q64" s="117"/>
      <c r="R64" s="119" t="str">
        <f t="shared" si="10"/>
        <v/>
      </c>
      <c r="S64" s="119" t="str">
        <f t="shared" si="11"/>
        <v/>
      </c>
      <c r="T64" s="117" t="str">
        <f t="shared" si="12"/>
        <v/>
      </c>
      <c r="U64" s="94">
        <f t="shared" si="83"/>
        <v>0</v>
      </c>
      <c r="V64" s="94">
        <f t="shared" si="84"/>
        <v>0</v>
      </c>
      <c r="W64" s="95" t="str">
        <f t="shared" si="90"/>
        <v/>
      </c>
      <c r="Y64" s="117">
        <f t="shared" si="85"/>
        <v>0</v>
      </c>
      <c r="Z64" s="117">
        <f t="shared" si="86"/>
        <v>0</v>
      </c>
      <c r="AA64" s="112" t="str">
        <f t="shared" si="18"/>
        <v/>
      </c>
      <c r="AC64" s="129">
        <v>62</v>
      </c>
      <c r="AD64" s="130" t="str">
        <f t="shared" si="96"/>
        <v xml:space="preserve">  </v>
      </c>
      <c r="AE64" s="130" t="str">
        <f t="shared" si="97"/>
        <v xml:space="preserve"> </v>
      </c>
      <c r="AF64" s="130" t="str">
        <f t="shared" si="98"/>
        <v/>
      </c>
      <c r="AG64" s="131" t="str">
        <f t="shared" si="99"/>
        <v/>
      </c>
      <c r="AH64" s="132" t="str">
        <f t="shared" si="100"/>
        <v/>
      </c>
      <c r="BM64" s="117">
        <f t="shared" si="59"/>
        <v>99</v>
      </c>
      <c r="BN64" s="117">
        <f t="shared" si="49"/>
        <v>1</v>
      </c>
    </row>
    <row r="65" spans="1:66" x14ac:dyDescent="0.25">
      <c r="A65" s="117">
        <f t="shared" si="56"/>
        <v>63</v>
      </c>
      <c r="B65" s="113"/>
      <c r="C65" s="21"/>
      <c r="D65" s="113"/>
      <c r="E65" s="113"/>
      <c r="F65" s="21"/>
      <c r="G65" s="113"/>
      <c r="I65" s="117" t="str">
        <f t="shared" si="2"/>
        <v/>
      </c>
      <c r="J65" s="117" t="str">
        <f t="shared" si="3"/>
        <v/>
      </c>
      <c r="K65" s="119" t="str">
        <f t="shared" si="4"/>
        <v/>
      </c>
      <c r="L65" s="117" t="str">
        <f t="shared" si="5"/>
        <v/>
      </c>
      <c r="M65" s="117">
        <f t="shared" si="93"/>
        <v>0</v>
      </c>
      <c r="N65" s="117">
        <f t="shared" si="94"/>
        <v>0</v>
      </c>
      <c r="O65" s="117">
        <f t="shared" si="95"/>
        <v>0</v>
      </c>
      <c r="P65" s="117">
        <f t="shared" si="9"/>
        <v>0</v>
      </c>
      <c r="Q65" s="117"/>
      <c r="R65" s="119" t="str">
        <f t="shared" si="10"/>
        <v/>
      </c>
      <c r="S65" s="119" t="str">
        <f t="shared" si="11"/>
        <v/>
      </c>
      <c r="T65" s="117" t="str">
        <f t="shared" si="12"/>
        <v/>
      </c>
      <c r="U65" s="94">
        <f t="shared" si="83"/>
        <v>0</v>
      </c>
      <c r="V65" s="94">
        <f t="shared" si="84"/>
        <v>0</v>
      </c>
      <c r="W65" s="95" t="str">
        <f t="shared" si="90"/>
        <v/>
      </c>
      <c r="Y65" s="117">
        <f t="shared" si="85"/>
        <v>0</v>
      </c>
      <c r="Z65" s="117">
        <f t="shared" si="86"/>
        <v>0</v>
      </c>
      <c r="AA65" s="112" t="str">
        <f t="shared" si="18"/>
        <v/>
      </c>
      <c r="AC65" s="129">
        <v>63</v>
      </c>
      <c r="AD65" s="130" t="str">
        <f t="shared" si="96"/>
        <v xml:space="preserve">  </v>
      </c>
      <c r="AE65" s="130" t="str">
        <f t="shared" si="97"/>
        <v xml:space="preserve"> </v>
      </c>
      <c r="AF65" s="130" t="str">
        <f t="shared" si="98"/>
        <v/>
      </c>
      <c r="AG65" s="131" t="str">
        <f t="shared" si="99"/>
        <v/>
      </c>
      <c r="AH65" s="132" t="str">
        <f t="shared" si="100"/>
        <v/>
      </c>
      <c r="BM65" s="117">
        <f t="shared" si="59"/>
        <v>99</v>
      </c>
      <c r="BN65" s="117">
        <f t="shared" si="49"/>
        <v>1</v>
      </c>
    </row>
    <row r="66" spans="1:66" x14ac:dyDescent="0.25">
      <c r="A66" s="117">
        <f t="shared" si="56"/>
        <v>64</v>
      </c>
      <c r="B66" s="113"/>
      <c r="C66" s="21"/>
      <c r="D66" s="113"/>
      <c r="E66" s="113"/>
      <c r="F66" s="21"/>
      <c r="G66" s="113"/>
      <c r="I66" s="117" t="str">
        <f t="shared" si="2"/>
        <v/>
      </c>
      <c r="J66" s="117" t="str">
        <f t="shared" si="3"/>
        <v/>
      </c>
      <c r="K66" s="119" t="str">
        <f t="shared" si="4"/>
        <v/>
      </c>
      <c r="L66" s="117" t="str">
        <f t="shared" si="5"/>
        <v/>
      </c>
      <c r="M66" s="117">
        <f t="shared" si="93"/>
        <v>0</v>
      </c>
      <c r="N66" s="117">
        <f t="shared" si="94"/>
        <v>0</v>
      </c>
      <c r="O66" s="117">
        <f t="shared" si="95"/>
        <v>0</v>
      </c>
      <c r="P66" s="117">
        <f t="shared" si="9"/>
        <v>0</v>
      </c>
      <c r="Q66" s="117"/>
      <c r="R66" s="119" t="str">
        <f t="shared" si="10"/>
        <v/>
      </c>
      <c r="S66" s="119" t="str">
        <f t="shared" si="11"/>
        <v/>
      </c>
      <c r="T66" s="117" t="str">
        <f t="shared" si="12"/>
        <v/>
      </c>
      <c r="U66" s="94">
        <f t="shared" si="83"/>
        <v>0</v>
      </c>
      <c r="V66" s="94">
        <f t="shared" si="84"/>
        <v>0</v>
      </c>
      <c r="W66" s="95" t="str">
        <f t="shared" si="90"/>
        <v/>
      </c>
      <c r="Y66" s="117">
        <f t="shared" si="85"/>
        <v>0</v>
      </c>
      <c r="Z66" s="117">
        <f t="shared" si="86"/>
        <v>0</v>
      </c>
      <c r="AA66" s="112" t="str">
        <f t="shared" si="18"/>
        <v/>
      </c>
      <c r="AC66" s="129">
        <v>64</v>
      </c>
      <c r="AD66" s="130" t="str">
        <f t="shared" si="96"/>
        <v xml:space="preserve">  </v>
      </c>
      <c r="AE66" s="130" t="str">
        <f t="shared" si="97"/>
        <v xml:space="preserve"> </v>
      </c>
      <c r="AF66" s="130" t="str">
        <f t="shared" si="98"/>
        <v/>
      </c>
      <c r="AG66" s="131" t="str">
        <f t="shared" si="99"/>
        <v/>
      </c>
      <c r="AH66" s="132" t="str">
        <f t="shared" si="100"/>
        <v/>
      </c>
      <c r="BM66" s="117">
        <f t="shared" si="59"/>
        <v>99</v>
      </c>
      <c r="BN66" s="117">
        <f t="shared" si="49"/>
        <v>1</v>
      </c>
    </row>
    <row r="67" spans="1:66" x14ac:dyDescent="0.25">
      <c r="A67" s="117">
        <f t="shared" si="56"/>
        <v>65</v>
      </c>
      <c r="B67" s="113"/>
      <c r="C67" s="21"/>
      <c r="D67" s="113"/>
      <c r="E67" s="113"/>
      <c r="F67" s="21"/>
      <c r="G67" s="113"/>
      <c r="I67" s="117" t="str">
        <f t="shared" si="2"/>
        <v/>
      </c>
      <c r="J67" s="117" t="str">
        <f t="shared" si="3"/>
        <v/>
      </c>
      <c r="K67" s="119" t="str">
        <f t="shared" si="4"/>
        <v/>
      </c>
      <c r="L67" s="117" t="str">
        <f t="shared" si="5"/>
        <v/>
      </c>
      <c r="M67" s="117">
        <f t="shared" si="93"/>
        <v>0</v>
      </c>
      <c r="N67" s="117">
        <f t="shared" si="94"/>
        <v>0</v>
      </c>
      <c r="O67" s="117">
        <f t="shared" si="95"/>
        <v>0</v>
      </c>
      <c r="P67" s="117">
        <f t="shared" si="9"/>
        <v>0</v>
      </c>
      <c r="Q67" s="117"/>
      <c r="R67" s="119" t="str">
        <f t="shared" si="10"/>
        <v/>
      </c>
      <c r="S67" s="119" t="str">
        <f t="shared" si="11"/>
        <v/>
      </c>
      <c r="T67" s="117" t="str">
        <f t="shared" si="12"/>
        <v/>
      </c>
      <c r="U67" s="94">
        <f t="shared" si="83"/>
        <v>0</v>
      </c>
      <c r="V67" s="94">
        <f t="shared" si="84"/>
        <v>0</v>
      </c>
      <c r="W67" s="95" t="str">
        <f t="shared" si="90"/>
        <v/>
      </c>
      <c r="Y67" s="117">
        <f t="shared" si="85"/>
        <v>0</v>
      </c>
      <c r="Z67" s="117">
        <f t="shared" si="86"/>
        <v>0</v>
      </c>
      <c r="AA67" s="112" t="str">
        <f t="shared" si="18"/>
        <v/>
      </c>
      <c r="AC67" s="129">
        <v>65</v>
      </c>
      <c r="AD67" s="130" t="str">
        <f t="shared" si="96"/>
        <v xml:space="preserve">  </v>
      </c>
      <c r="AE67" s="130" t="str">
        <f t="shared" si="97"/>
        <v xml:space="preserve"> </v>
      </c>
      <c r="AF67" s="130" t="str">
        <f t="shared" si="98"/>
        <v/>
      </c>
      <c r="AG67" s="131" t="str">
        <f t="shared" si="99"/>
        <v/>
      </c>
      <c r="AH67" s="132" t="str">
        <f t="shared" si="100"/>
        <v/>
      </c>
      <c r="BM67" s="117">
        <f t="shared" si="59"/>
        <v>99</v>
      </c>
      <c r="BN67" s="117">
        <f t="shared" si="49"/>
        <v>1</v>
      </c>
    </row>
    <row r="68" spans="1:66" x14ac:dyDescent="0.25">
      <c r="A68" s="117">
        <f t="shared" si="56"/>
        <v>66</v>
      </c>
      <c r="B68" s="113"/>
      <c r="C68" s="21"/>
      <c r="D68" s="113"/>
      <c r="E68" s="113"/>
      <c r="F68" s="21"/>
      <c r="G68" s="113"/>
      <c r="I68" s="117" t="str">
        <f t="shared" ref="I68:I102" si="101">IF(B68="","",(IF((MID(B68,J68-3,4))=$I$1,1,IF((MID(B68,J68-3,4))=$J$1,2,IF((MID(B68,J68-3,4))=$K$1,3,0)))))</f>
        <v/>
      </c>
      <c r="J68" s="117" t="str">
        <f t="shared" ref="J68:J102" si="102">IF(B68="","",(VALUE(LEN(B68))))</f>
        <v/>
      </c>
      <c r="K68" s="119" t="str">
        <f t="shared" ref="K68:K102" si="103">IF(B68="","",(IF(I68=0,(MID(B68,1,J68)),(MID(B68,1,J68-4)))))</f>
        <v/>
      </c>
      <c r="L68" s="117" t="str">
        <f t="shared" ref="L68:L102" si="104">IF(B68="","",(LEN(K68)))</f>
        <v/>
      </c>
      <c r="M68" s="117">
        <f t="shared" si="93"/>
        <v>0</v>
      </c>
      <c r="N68" s="117">
        <f t="shared" si="94"/>
        <v>0</v>
      </c>
      <c r="O68" s="117">
        <f t="shared" si="95"/>
        <v>0</v>
      </c>
      <c r="P68" s="117">
        <f t="shared" ref="P68:P102" si="105">IF(K68="",0,(SEARCH(" ",K68)))</f>
        <v>0</v>
      </c>
      <c r="Q68" s="117"/>
      <c r="R68" s="119" t="str">
        <f t="shared" ref="R68:R102" si="106">IF(B68="","",(MID(K68,1,P68-1)))</f>
        <v/>
      </c>
      <c r="S68" s="119" t="str">
        <f t="shared" ref="S68:S102" si="107">IF(B68="","",(IF(I68=0,(MID(K68,P68+1,J68-P68)),(MID(K68,P68+1,J68-P68-1)))))</f>
        <v/>
      </c>
      <c r="T68" s="117" t="str">
        <f t="shared" ref="T68:T102" si="108">IF(B68="","",(IF(I68=1,$I$1,IF(I68=2,$J$1,IF(I68=3,$K$1,"")))))</f>
        <v/>
      </c>
      <c r="U68" s="94">
        <f t="shared" si="83"/>
        <v>0</v>
      </c>
      <c r="V68" s="94">
        <f t="shared" si="84"/>
        <v>0</v>
      </c>
      <c r="W68" s="95" t="str">
        <f t="shared" si="90"/>
        <v/>
      </c>
      <c r="Y68" s="117">
        <f t="shared" si="85"/>
        <v>0</v>
      </c>
      <c r="Z68" s="117">
        <f t="shared" si="86"/>
        <v>0</v>
      </c>
      <c r="AA68" s="112" t="str">
        <f t="shared" ref="AA68:AA102" si="109">IF(B68="","",(MID(D68,1,Z68-1)))</f>
        <v/>
      </c>
      <c r="AC68" s="129">
        <v>66</v>
      </c>
      <c r="AD68" s="130" t="str">
        <f t="shared" si="96"/>
        <v xml:space="preserve">  </v>
      </c>
      <c r="AE68" s="130" t="str">
        <f t="shared" si="97"/>
        <v xml:space="preserve"> </v>
      </c>
      <c r="AF68" s="130" t="str">
        <f t="shared" si="98"/>
        <v/>
      </c>
      <c r="AG68" s="131" t="str">
        <f t="shared" si="99"/>
        <v/>
      </c>
      <c r="AH68" s="132" t="str">
        <f t="shared" si="100"/>
        <v/>
      </c>
      <c r="BM68" s="117">
        <f t="shared" ref="BM68:BM102" si="110">IF(BG68=$BO$1,98,(IF(BG68=$BM$1,98,(IF(BL68=0,99,(MATCH(BK68,$AE$3:$AE$102,0)))))))</f>
        <v>99</v>
      </c>
      <c r="BN68" s="117">
        <f t="shared" ref="BN68:BN102" si="111">IF((ISNUMBER(BM68)),1,0)</f>
        <v>1</v>
      </c>
    </row>
    <row r="69" spans="1:66" x14ac:dyDescent="0.25">
      <c r="A69" s="117">
        <f t="shared" ref="A69:A102" si="112">A68+1</f>
        <v>67</v>
      </c>
      <c r="B69" s="113"/>
      <c r="C69" s="21"/>
      <c r="D69" s="113"/>
      <c r="E69" s="113"/>
      <c r="F69" s="21"/>
      <c r="G69" s="113"/>
      <c r="I69" s="117" t="str">
        <f t="shared" si="101"/>
        <v/>
      </c>
      <c r="J69" s="117" t="str">
        <f t="shared" si="102"/>
        <v/>
      </c>
      <c r="K69" s="119" t="str">
        <f t="shared" si="103"/>
        <v/>
      </c>
      <c r="L69" s="117" t="str">
        <f t="shared" si="104"/>
        <v/>
      </c>
      <c r="M69" s="117">
        <f t="shared" si="93"/>
        <v>0</v>
      </c>
      <c r="N69" s="117">
        <f t="shared" si="94"/>
        <v>0</v>
      </c>
      <c r="O69" s="117">
        <f t="shared" si="95"/>
        <v>0</v>
      </c>
      <c r="P69" s="117">
        <f t="shared" si="105"/>
        <v>0</v>
      </c>
      <c r="Q69" s="117"/>
      <c r="R69" s="119" t="str">
        <f t="shared" si="106"/>
        <v/>
      </c>
      <c r="S69" s="119" t="str">
        <f t="shared" si="107"/>
        <v/>
      </c>
      <c r="T69" s="117" t="str">
        <f t="shared" si="108"/>
        <v/>
      </c>
      <c r="U69" s="94">
        <f t="shared" si="83"/>
        <v>0</v>
      </c>
      <c r="V69" s="94">
        <f t="shared" si="84"/>
        <v>0</v>
      </c>
      <c r="W69" s="95" t="str">
        <f t="shared" si="90"/>
        <v/>
      </c>
      <c r="Y69" s="117">
        <f t="shared" si="85"/>
        <v>0</v>
      </c>
      <c r="Z69" s="117">
        <f t="shared" si="86"/>
        <v>0</v>
      </c>
      <c r="AA69" s="112" t="str">
        <f t="shared" si="109"/>
        <v/>
      </c>
      <c r="AC69" s="129">
        <v>67</v>
      </c>
      <c r="AD69" s="130" t="str">
        <f t="shared" si="96"/>
        <v xml:space="preserve">  </v>
      </c>
      <c r="AE69" s="130" t="str">
        <f t="shared" si="97"/>
        <v xml:space="preserve"> </v>
      </c>
      <c r="AF69" s="130" t="str">
        <f t="shared" si="98"/>
        <v/>
      </c>
      <c r="AG69" s="131" t="str">
        <f t="shared" si="99"/>
        <v/>
      </c>
      <c r="AH69" s="132" t="str">
        <f t="shared" si="100"/>
        <v/>
      </c>
      <c r="BM69" s="117">
        <f t="shared" si="110"/>
        <v>99</v>
      </c>
      <c r="BN69" s="117">
        <f t="shared" si="111"/>
        <v>1</v>
      </c>
    </row>
    <row r="70" spans="1:66" x14ac:dyDescent="0.25">
      <c r="A70" s="117">
        <f t="shared" si="112"/>
        <v>68</v>
      </c>
      <c r="B70" s="113"/>
      <c r="C70" s="21"/>
      <c r="D70" s="113"/>
      <c r="E70" s="113"/>
      <c r="F70" s="21"/>
      <c r="G70" s="113"/>
      <c r="I70" s="117" t="str">
        <f t="shared" si="101"/>
        <v/>
      </c>
      <c r="J70" s="117" t="str">
        <f t="shared" si="102"/>
        <v/>
      </c>
      <c r="K70" s="119" t="str">
        <f t="shared" si="103"/>
        <v/>
      </c>
      <c r="L70" s="117" t="str">
        <f t="shared" si="104"/>
        <v/>
      </c>
      <c r="M70" s="117">
        <f t="shared" si="93"/>
        <v>0</v>
      </c>
      <c r="N70" s="117">
        <f t="shared" si="94"/>
        <v>0</v>
      </c>
      <c r="O70" s="117">
        <f t="shared" si="95"/>
        <v>0</v>
      </c>
      <c r="P70" s="117">
        <f t="shared" si="105"/>
        <v>0</v>
      </c>
      <c r="Q70" s="117"/>
      <c r="R70" s="119" t="str">
        <f t="shared" si="106"/>
        <v/>
      </c>
      <c r="S70" s="119" t="str">
        <f t="shared" si="107"/>
        <v/>
      </c>
      <c r="T70" s="117" t="str">
        <f t="shared" si="108"/>
        <v/>
      </c>
      <c r="U70" s="94">
        <f t="shared" si="83"/>
        <v>0</v>
      </c>
      <c r="V70" s="94">
        <f t="shared" si="84"/>
        <v>0</v>
      </c>
      <c r="W70" s="95" t="str">
        <f t="shared" si="90"/>
        <v/>
      </c>
      <c r="Y70" s="117">
        <f t="shared" si="85"/>
        <v>0</v>
      </c>
      <c r="Z70" s="117">
        <f t="shared" si="86"/>
        <v>0</v>
      </c>
      <c r="AA70" s="112" t="str">
        <f t="shared" si="109"/>
        <v/>
      </c>
      <c r="AC70" s="129">
        <v>68</v>
      </c>
      <c r="AD70" s="130" t="str">
        <f t="shared" si="96"/>
        <v xml:space="preserve">  </v>
      </c>
      <c r="AE70" s="130" t="str">
        <f t="shared" si="97"/>
        <v xml:space="preserve"> </v>
      </c>
      <c r="AF70" s="130" t="str">
        <f t="shared" si="98"/>
        <v/>
      </c>
      <c r="AG70" s="131" t="str">
        <f t="shared" si="99"/>
        <v/>
      </c>
      <c r="AH70" s="132" t="str">
        <f t="shared" si="100"/>
        <v/>
      </c>
      <c r="BM70" s="117">
        <f t="shared" si="110"/>
        <v>99</v>
      </c>
      <c r="BN70" s="117">
        <f t="shared" si="111"/>
        <v>1</v>
      </c>
    </row>
    <row r="71" spans="1:66" x14ac:dyDescent="0.25">
      <c r="A71" s="117">
        <f t="shared" si="112"/>
        <v>69</v>
      </c>
      <c r="B71" s="113"/>
      <c r="C71" s="21"/>
      <c r="D71" s="113"/>
      <c r="E71" s="113"/>
      <c r="F71" s="21"/>
      <c r="G71" s="113"/>
      <c r="I71" s="117" t="str">
        <f t="shared" si="101"/>
        <v/>
      </c>
      <c r="J71" s="117" t="str">
        <f t="shared" si="102"/>
        <v/>
      </c>
      <c r="K71" s="119" t="str">
        <f t="shared" si="103"/>
        <v/>
      </c>
      <c r="L71" s="117" t="str">
        <f t="shared" si="104"/>
        <v/>
      </c>
      <c r="M71" s="117">
        <f t="shared" si="93"/>
        <v>0</v>
      </c>
      <c r="N71" s="117">
        <f t="shared" si="94"/>
        <v>0</v>
      </c>
      <c r="O71" s="117">
        <f t="shared" si="95"/>
        <v>0</v>
      </c>
      <c r="P71" s="117">
        <f t="shared" si="105"/>
        <v>0</v>
      </c>
      <c r="Q71" s="117"/>
      <c r="R71" s="119" t="str">
        <f t="shared" si="106"/>
        <v/>
      </c>
      <c r="S71" s="119" t="str">
        <f t="shared" si="107"/>
        <v/>
      </c>
      <c r="T71" s="117" t="str">
        <f t="shared" si="108"/>
        <v/>
      </c>
      <c r="U71" s="94">
        <f t="shared" si="83"/>
        <v>0</v>
      </c>
      <c r="V71" s="94">
        <f t="shared" si="84"/>
        <v>0</v>
      </c>
      <c r="W71" s="95" t="str">
        <f t="shared" si="90"/>
        <v/>
      </c>
      <c r="Y71" s="117">
        <f t="shared" si="85"/>
        <v>0</v>
      </c>
      <c r="Z71" s="117">
        <f t="shared" si="86"/>
        <v>0</v>
      </c>
      <c r="AA71" s="112" t="str">
        <f t="shared" si="109"/>
        <v/>
      </c>
      <c r="AC71" s="129">
        <v>69</v>
      </c>
      <c r="AD71" s="130" t="str">
        <f t="shared" si="96"/>
        <v xml:space="preserve">  </v>
      </c>
      <c r="AE71" s="130" t="str">
        <f t="shared" si="97"/>
        <v xml:space="preserve"> </v>
      </c>
      <c r="AF71" s="130" t="str">
        <f t="shared" si="98"/>
        <v/>
      </c>
      <c r="AG71" s="131" t="str">
        <f t="shared" si="99"/>
        <v/>
      </c>
      <c r="AH71" s="132" t="str">
        <f t="shared" si="100"/>
        <v/>
      </c>
      <c r="BM71" s="117">
        <f t="shared" si="110"/>
        <v>99</v>
      </c>
      <c r="BN71" s="117">
        <f t="shared" si="111"/>
        <v>1</v>
      </c>
    </row>
    <row r="72" spans="1:66" x14ac:dyDescent="0.25">
      <c r="A72" s="117">
        <f t="shared" si="112"/>
        <v>70</v>
      </c>
      <c r="B72" s="113"/>
      <c r="C72" s="21"/>
      <c r="D72" s="113"/>
      <c r="E72" s="113"/>
      <c r="F72" s="21"/>
      <c r="G72" s="113"/>
      <c r="I72" s="117" t="str">
        <f t="shared" si="101"/>
        <v/>
      </c>
      <c r="J72" s="117" t="str">
        <f t="shared" si="102"/>
        <v/>
      </c>
      <c r="K72" s="119" t="str">
        <f t="shared" si="103"/>
        <v/>
      </c>
      <c r="L72" s="117" t="str">
        <f t="shared" si="104"/>
        <v/>
      </c>
      <c r="M72" s="117">
        <f t="shared" si="93"/>
        <v>0</v>
      </c>
      <c r="N72" s="117">
        <f t="shared" si="94"/>
        <v>0</v>
      </c>
      <c r="O72" s="117">
        <f t="shared" si="95"/>
        <v>0</v>
      </c>
      <c r="P72" s="117">
        <f t="shared" si="105"/>
        <v>0</v>
      </c>
      <c r="Q72" s="117"/>
      <c r="R72" s="119" t="str">
        <f t="shared" si="106"/>
        <v/>
      </c>
      <c r="S72" s="119" t="str">
        <f t="shared" si="107"/>
        <v/>
      </c>
      <c r="T72" s="117" t="str">
        <f t="shared" si="108"/>
        <v/>
      </c>
      <c r="U72" s="94">
        <f t="shared" si="83"/>
        <v>0</v>
      </c>
      <c r="V72" s="94">
        <f t="shared" si="84"/>
        <v>0</v>
      </c>
      <c r="W72" s="95" t="str">
        <f t="shared" si="90"/>
        <v/>
      </c>
      <c r="Y72" s="117">
        <f t="shared" si="85"/>
        <v>0</v>
      </c>
      <c r="Z72" s="117">
        <f t="shared" si="86"/>
        <v>0</v>
      </c>
      <c r="AA72" s="112" t="str">
        <f t="shared" si="109"/>
        <v/>
      </c>
      <c r="AC72" s="129">
        <v>70</v>
      </c>
      <c r="AD72" s="130" t="str">
        <f t="shared" si="96"/>
        <v xml:space="preserve">  </v>
      </c>
      <c r="AE72" s="130" t="str">
        <f t="shared" si="97"/>
        <v xml:space="preserve"> </v>
      </c>
      <c r="AF72" s="130" t="str">
        <f t="shared" si="98"/>
        <v/>
      </c>
      <c r="AG72" s="131" t="str">
        <f t="shared" si="99"/>
        <v/>
      </c>
      <c r="AH72" s="132" t="str">
        <f t="shared" si="100"/>
        <v/>
      </c>
      <c r="BM72" s="117">
        <f t="shared" si="110"/>
        <v>99</v>
      </c>
      <c r="BN72" s="117">
        <f t="shared" si="111"/>
        <v>1</v>
      </c>
    </row>
    <row r="73" spans="1:66" x14ac:dyDescent="0.25">
      <c r="A73" s="117">
        <f t="shared" si="112"/>
        <v>71</v>
      </c>
      <c r="B73" s="113"/>
      <c r="C73" s="21"/>
      <c r="D73" s="113"/>
      <c r="E73" s="113"/>
      <c r="F73" s="21"/>
      <c r="G73" s="113"/>
      <c r="I73" s="117" t="str">
        <f t="shared" si="101"/>
        <v/>
      </c>
      <c r="J73" s="117" t="str">
        <f t="shared" si="102"/>
        <v/>
      </c>
      <c r="K73" s="119" t="str">
        <f t="shared" si="103"/>
        <v/>
      </c>
      <c r="L73" s="117" t="str">
        <f t="shared" si="104"/>
        <v/>
      </c>
      <c r="M73" s="117">
        <f t="shared" si="93"/>
        <v>0</v>
      </c>
      <c r="N73" s="117">
        <f t="shared" si="94"/>
        <v>0</v>
      </c>
      <c r="O73" s="117">
        <f t="shared" si="95"/>
        <v>0</v>
      </c>
      <c r="P73" s="117">
        <f t="shared" si="105"/>
        <v>0</v>
      </c>
      <c r="Q73" s="117"/>
      <c r="R73" s="119" t="str">
        <f t="shared" si="106"/>
        <v/>
      </c>
      <c r="S73" s="119" t="str">
        <f t="shared" si="107"/>
        <v/>
      </c>
      <c r="T73" s="117" t="str">
        <f t="shared" si="108"/>
        <v/>
      </c>
      <c r="U73" s="94">
        <f t="shared" si="83"/>
        <v>0</v>
      </c>
      <c r="V73" s="94">
        <f t="shared" si="84"/>
        <v>0</v>
      </c>
      <c r="W73" s="95" t="str">
        <f t="shared" si="90"/>
        <v/>
      </c>
      <c r="Y73" s="117">
        <f t="shared" si="85"/>
        <v>0</v>
      </c>
      <c r="Z73" s="117">
        <f t="shared" si="86"/>
        <v>0</v>
      </c>
      <c r="AA73" s="112" t="str">
        <f t="shared" si="109"/>
        <v/>
      </c>
      <c r="AC73" s="129">
        <v>71</v>
      </c>
      <c r="AD73" s="130" t="str">
        <f t="shared" si="96"/>
        <v xml:space="preserve">  </v>
      </c>
      <c r="AE73" s="130" t="str">
        <f t="shared" si="97"/>
        <v xml:space="preserve"> </v>
      </c>
      <c r="AF73" s="130" t="str">
        <f t="shared" si="98"/>
        <v/>
      </c>
      <c r="AG73" s="131" t="str">
        <f t="shared" si="99"/>
        <v/>
      </c>
      <c r="AH73" s="132" t="str">
        <f t="shared" si="100"/>
        <v/>
      </c>
      <c r="BM73" s="117">
        <f t="shared" si="110"/>
        <v>99</v>
      </c>
      <c r="BN73" s="117">
        <f t="shared" si="111"/>
        <v>1</v>
      </c>
    </row>
    <row r="74" spans="1:66" x14ac:dyDescent="0.25">
      <c r="A74" s="117">
        <f t="shared" si="112"/>
        <v>72</v>
      </c>
      <c r="B74" s="113"/>
      <c r="C74" s="21"/>
      <c r="D74" s="113"/>
      <c r="E74" s="113"/>
      <c r="F74" s="21"/>
      <c r="G74" s="113"/>
      <c r="I74" s="117" t="str">
        <f t="shared" si="101"/>
        <v/>
      </c>
      <c r="J74" s="117" t="str">
        <f t="shared" si="102"/>
        <v/>
      </c>
      <c r="K74" s="119" t="str">
        <f t="shared" si="103"/>
        <v/>
      </c>
      <c r="L74" s="117" t="str">
        <f t="shared" si="104"/>
        <v/>
      </c>
      <c r="M74" s="117">
        <f t="shared" si="93"/>
        <v>0</v>
      </c>
      <c r="N74" s="117">
        <f t="shared" si="94"/>
        <v>0</v>
      </c>
      <c r="O74" s="117">
        <f t="shared" si="95"/>
        <v>0</v>
      </c>
      <c r="P74" s="117">
        <f t="shared" si="105"/>
        <v>0</v>
      </c>
      <c r="Q74" s="117"/>
      <c r="R74" s="119" t="str">
        <f t="shared" si="106"/>
        <v/>
      </c>
      <c r="S74" s="119" t="str">
        <f t="shared" si="107"/>
        <v/>
      </c>
      <c r="T74" s="117" t="str">
        <f t="shared" si="108"/>
        <v/>
      </c>
      <c r="U74" s="94">
        <f t="shared" si="83"/>
        <v>0</v>
      </c>
      <c r="V74" s="94">
        <f t="shared" si="84"/>
        <v>0</v>
      </c>
      <c r="W74" s="95" t="str">
        <f t="shared" si="90"/>
        <v/>
      </c>
      <c r="Y74" s="117">
        <f t="shared" si="85"/>
        <v>0</v>
      </c>
      <c r="Z74" s="117">
        <f t="shared" si="86"/>
        <v>0</v>
      </c>
      <c r="AA74" s="112" t="str">
        <f t="shared" si="109"/>
        <v/>
      </c>
      <c r="AC74" s="129">
        <v>72</v>
      </c>
      <c r="AD74" s="130" t="str">
        <f t="shared" si="96"/>
        <v xml:space="preserve">  </v>
      </c>
      <c r="AE74" s="130" t="str">
        <f t="shared" si="97"/>
        <v xml:space="preserve"> </v>
      </c>
      <c r="AF74" s="130" t="str">
        <f t="shared" si="98"/>
        <v/>
      </c>
      <c r="AG74" s="131" t="str">
        <f t="shared" si="99"/>
        <v/>
      </c>
      <c r="AH74" s="132" t="str">
        <f t="shared" si="100"/>
        <v/>
      </c>
      <c r="BM74" s="117">
        <f t="shared" si="110"/>
        <v>99</v>
      </c>
      <c r="BN74" s="117">
        <f t="shared" si="111"/>
        <v>1</v>
      </c>
    </row>
    <row r="75" spans="1:66" x14ac:dyDescent="0.25">
      <c r="A75" s="117">
        <f t="shared" si="112"/>
        <v>73</v>
      </c>
      <c r="B75" s="113"/>
      <c r="C75" s="21"/>
      <c r="D75" s="113"/>
      <c r="E75" s="113"/>
      <c r="F75" s="21"/>
      <c r="G75" s="113"/>
      <c r="I75" s="117" t="str">
        <f t="shared" si="101"/>
        <v/>
      </c>
      <c r="J75" s="117" t="str">
        <f t="shared" si="102"/>
        <v/>
      </c>
      <c r="K75" s="119" t="str">
        <f t="shared" si="103"/>
        <v/>
      </c>
      <c r="L75" s="117" t="str">
        <f t="shared" si="104"/>
        <v/>
      </c>
      <c r="M75" s="117">
        <f t="shared" si="93"/>
        <v>0</v>
      </c>
      <c r="N75" s="117">
        <f t="shared" si="94"/>
        <v>0</v>
      </c>
      <c r="O75" s="117">
        <f t="shared" si="95"/>
        <v>0</v>
      </c>
      <c r="P75" s="117">
        <f t="shared" si="105"/>
        <v>0</v>
      </c>
      <c r="Q75" s="117"/>
      <c r="R75" s="119" t="str">
        <f t="shared" si="106"/>
        <v/>
      </c>
      <c r="S75" s="119" t="str">
        <f t="shared" si="107"/>
        <v/>
      </c>
      <c r="T75" s="117" t="str">
        <f t="shared" si="108"/>
        <v/>
      </c>
      <c r="U75" s="94">
        <f t="shared" si="83"/>
        <v>0</v>
      </c>
      <c r="V75" s="94">
        <f t="shared" si="84"/>
        <v>0</v>
      </c>
      <c r="W75" s="95" t="str">
        <f t="shared" si="90"/>
        <v/>
      </c>
      <c r="Y75" s="117">
        <f t="shared" si="85"/>
        <v>0</v>
      </c>
      <c r="Z75" s="117">
        <f t="shared" si="86"/>
        <v>0</v>
      </c>
      <c r="AA75" s="112" t="str">
        <f t="shared" si="109"/>
        <v/>
      </c>
      <c r="AC75" s="129">
        <v>73</v>
      </c>
      <c r="AD75" s="130" t="str">
        <f t="shared" si="96"/>
        <v xml:space="preserve">  </v>
      </c>
      <c r="AE75" s="130" t="str">
        <f t="shared" si="97"/>
        <v xml:space="preserve"> </v>
      </c>
      <c r="AF75" s="130" t="str">
        <f t="shared" si="98"/>
        <v/>
      </c>
      <c r="AG75" s="131" t="str">
        <f t="shared" si="99"/>
        <v/>
      </c>
      <c r="AH75" s="132" t="str">
        <f t="shared" si="100"/>
        <v/>
      </c>
      <c r="BM75" s="117">
        <f t="shared" si="110"/>
        <v>99</v>
      </c>
      <c r="BN75" s="117">
        <f t="shared" si="111"/>
        <v>1</v>
      </c>
    </row>
    <row r="76" spans="1:66" x14ac:dyDescent="0.25">
      <c r="A76" s="117">
        <f t="shared" si="112"/>
        <v>74</v>
      </c>
      <c r="B76" s="113"/>
      <c r="C76" s="21"/>
      <c r="D76" s="113"/>
      <c r="E76" s="113"/>
      <c r="F76" s="21"/>
      <c r="G76" s="113"/>
      <c r="I76" s="117" t="str">
        <f t="shared" si="101"/>
        <v/>
      </c>
      <c r="J76" s="117" t="str">
        <f t="shared" si="102"/>
        <v/>
      </c>
      <c r="K76" s="119" t="str">
        <f t="shared" si="103"/>
        <v/>
      </c>
      <c r="L76" s="117" t="str">
        <f t="shared" si="104"/>
        <v/>
      </c>
      <c r="M76" s="117">
        <f t="shared" si="93"/>
        <v>0</v>
      </c>
      <c r="N76" s="117">
        <f t="shared" si="94"/>
        <v>0</v>
      </c>
      <c r="O76" s="117">
        <f t="shared" si="95"/>
        <v>0</v>
      </c>
      <c r="P76" s="117">
        <f t="shared" si="105"/>
        <v>0</v>
      </c>
      <c r="Q76" s="117"/>
      <c r="R76" s="119" t="str">
        <f t="shared" si="106"/>
        <v/>
      </c>
      <c r="S76" s="119" t="str">
        <f t="shared" si="107"/>
        <v/>
      </c>
      <c r="T76" s="117" t="str">
        <f t="shared" si="108"/>
        <v/>
      </c>
      <c r="U76" s="94">
        <f t="shared" si="83"/>
        <v>0</v>
      </c>
      <c r="V76" s="94">
        <f t="shared" si="84"/>
        <v>0</v>
      </c>
      <c r="W76" s="95" t="str">
        <f t="shared" si="90"/>
        <v/>
      </c>
      <c r="Y76" s="117">
        <f t="shared" si="85"/>
        <v>0</v>
      </c>
      <c r="Z76" s="117">
        <f t="shared" si="86"/>
        <v>0</v>
      </c>
      <c r="AA76" s="112" t="str">
        <f t="shared" si="109"/>
        <v/>
      </c>
      <c r="AC76" s="129">
        <v>74</v>
      </c>
      <c r="AD76" s="130" t="str">
        <f t="shared" si="96"/>
        <v xml:space="preserve">  </v>
      </c>
      <c r="AE76" s="130" t="str">
        <f t="shared" si="97"/>
        <v xml:space="preserve"> </v>
      </c>
      <c r="AF76" s="130" t="str">
        <f t="shared" si="98"/>
        <v/>
      </c>
      <c r="AG76" s="131" t="str">
        <f t="shared" si="99"/>
        <v/>
      </c>
      <c r="AH76" s="132" t="str">
        <f t="shared" si="100"/>
        <v/>
      </c>
      <c r="BM76" s="117">
        <f t="shared" si="110"/>
        <v>99</v>
      </c>
      <c r="BN76" s="117">
        <f t="shared" si="111"/>
        <v>1</v>
      </c>
    </row>
    <row r="77" spans="1:66" x14ac:dyDescent="0.25">
      <c r="A77" s="117">
        <f t="shared" si="112"/>
        <v>75</v>
      </c>
      <c r="B77" s="113"/>
      <c r="C77" s="21"/>
      <c r="D77" s="113"/>
      <c r="E77" s="113"/>
      <c r="F77" s="21"/>
      <c r="G77" s="113"/>
      <c r="I77" s="117" t="str">
        <f t="shared" si="101"/>
        <v/>
      </c>
      <c r="J77" s="117" t="str">
        <f t="shared" si="102"/>
        <v/>
      </c>
      <c r="K77" s="119" t="str">
        <f t="shared" si="103"/>
        <v/>
      </c>
      <c r="L77" s="117" t="str">
        <f t="shared" si="104"/>
        <v/>
      </c>
      <c r="M77" s="117">
        <f t="shared" si="93"/>
        <v>0</v>
      </c>
      <c r="N77" s="117">
        <f t="shared" si="94"/>
        <v>0</v>
      </c>
      <c r="O77" s="117">
        <f t="shared" si="95"/>
        <v>0</v>
      </c>
      <c r="P77" s="117">
        <f t="shared" si="105"/>
        <v>0</v>
      </c>
      <c r="Q77" s="117"/>
      <c r="R77" s="119" t="str">
        <f t="shared" si="106"/>
        <v/>
      </c>
      <c r="S77" s="119" t="str">
        <f t="shared" si="107"/>
        <v/>
      </c>
      <c r="T77" s="117" t="str">
        <f t="shared" si="108"/>
        <v/>
      </c>
      <c r="U77" s="94">
        <f t="shared" si="83"/>
        <v>0</v>
      </c>
      <c r="V77" s="94">
        <f t="shared" si="84"/>
        <v>0</v>
      </c>
      <c r="W77" s="95" t="str">
        <f t="shared" si="90"/>
        <v/>
      </c>
      <c r="Y77" s="117">
        <f t="shared" si="85"/>
        <v>0</v>
      </c>
      <c r="Z77" s="117">
        <f t="shared" si="86"/>
        <v>0</v>
      </c>
      <c r="AA77" s="112" t="str">
        <f t="shared" si="109"/>
        <v/>
      </c>
      <c r="AC77" s="129">
        <v>75</v>
      </c>
      <c r="AD77" s="130" t="str">
        <f t="shared" si="96"/>
        <v xml:space="preserve">  </v>
      </c>
      <c r="AE77" s="130" t="str">
        <f t="shared" si="97"/>
        <v xml:space="preserve"> </v>
      </c>
      <c r="AF77" s="130" t="str">
        <f t="shared" si="98"/>
        <v/>
      </c>
      <c r="AG77" s="131" t="str">
        <f t="shared" si="99"/>
        <v/>
      </c>
      <c r="AH77" s="132" t="str">
        <f t="shared" si="100"/>
        <v/>
      </c>
      <c r="BM77" s="117">
        <f t="shared" si="110"/>
        <v>99</v>
      </c>
      <c r="BN77" s="117">
        <f t="shared" si="111"/>
        <v>1</v>
      </c>
    </row>
    <row r="78" spans="1:66" x14ac:dyDescent="0.25">
      <c r="A78" s="117">
        <f t="shared" si="112"/>
        <v>76</v>
      </c>
      <c r="B78" s="113"/>
      <c r="C78" s="21"/>
      <c r="D78" s="113"/>
      <c r="E78" s="113"/>
      <c r="F78" s="21"/>
      <c r="G78" s="113"/>
      <c r="I78" s="117" t="str">
        <f t="shared" si="101"/>
        <v/>
      </c>
      <c r="J78" s="117" t="str">
        <f t="shared" si="102"/>
        <v/>
      </c>
      <c r="K78" s="119" t="str">
        <f t="shared" si="103"/>
        <v/>
      </c>
      <c r="L78" s="117" t="str">
        <f t="shared" si="104"/>
        <v/>
      </c>
      <c r="M78" s="117">
        <f t="shared" si="93"/>
        <v>0</v>
      </c>
      <c r="N78" s="117">
        <f t="shared" si="94"/>
        <v>0</v>
      </c>
      <c r="O78" s="117">
        <f t="shared" si="95"/>
        <v>0</v>
      </c>
      <c r="P78" s="117">
        <f t="shared" si="105"/>
        <v>0</v>
      </c>
      <c r="Q78" s="117"/>
      <c r="R78" s="119" t="str">
        <f t="shared" si="106"/>
        <v/>
      </c>
      <c r="S78" s="119" t="str">
        <f t="shared" si="107"/>
        <v/>
      </c>
      <c r="T78" s="117" t="str">
        <f t="shared" si="108"/>
        <v/>
      </c>
      <c r="U78" s="94">
        <f t="shared" si="83"/>
        <v>0</v>
      </c>
      <c r="V78" s="94">
        <f t="shared" si="84"/>
        <v>0</v>
      </c>
      <c r="W78" s="95" t="str">
        <f t="shared" si="90"/>
        <v/>
      </c>
      <c r="Y78" s="117">
        <f t="shared" si="85"/>
        <v>0</v>
      </c>
      <c r="Z78" s="117">
        <f t="shared" si="86"/>
        <v>0</v>
      </c>
      <c r="AA78" s="112" t="str">
        <f t="shared" si="109"/>
        <v/>
      </c>
      <c r="AC78" s="129">
        <v>76</v>
      </c>
      <c r="AD78" s="130" t="str">
        <f t="shared" si="96"/>
        <v xml:space="preserve">  </v>
      </c>
      <c r="AE78" s="130" t="str">
        <f t="shared" si="97"/>
        <v xml:space="preserve"> </v>
      </c>
      <c r="AF78" s="130" t="str">
        <f t="shared" si="98"/>
        <v/>
      </c>
      <c r="AG78" s="131" t="str">
        <f t="shared" si="99"/>
        <v/>
      </c>
      <c r="AH78" s="132" t="str">
        <f t="shared" si="100"/>
        <v/>
      </c>
      <c r="BM78" s="117">
        <f t="shared" si="110"/>
        <v>99</v>
      </c>
      <c r="BN78" s="117">
        <f t="shared" si="111"/>
        <v>1</v>
      </c>
    </row>
    <row r="79" spans="1:66" x14ac:dyDescent="0.25">
      <c r="A79" s="117">
        <f t="shared" si="112"/>
        <v>77</v>
      </c>
      <c r="B79" s="113"/>
      <c r="C79" s="21"/>
      <c r="D79" s="113"/>
      <c r="E79" s="113"/>
      <c r="F79" s="21"/>
      <c r="G79" s="113"/>
      <c r="I79" s="117" t="str">
        <f t="shared" si="101"/>
        <v/>
      </c>
      <c r="J79" s="117" t="str">
        <f t="shared" si="102"/>
        <v/>
      </c>
      <c r="K79" s="119" t="str">
        <f t="shared" si="103"/>
        <v/>
      </c>
      <c r="L79" s="117" t="str">
        <f t="shared" si="104"/>
        <v/>
      </c>
      <c r="M79" s="117">
        <f t="shared" si="93"/>
        <v>0</v>
      </c>
      <c r="N79" s="117">
        <f t="shared" si="94"/>
        <v>0</v>
      </c>
      <c r="O79" s="117">
        <f t="shared" si="95"/>
        <v>0</v>
      </c>
      <c r="P79" s="117">
        <f t="shared" si="105"/>
        <v>0</v>
      </c>
      <c r="Q79" s="117"/>
      <c r="R79" s="119" t="str">
        <f t="shared" si="106"/>
        <v/>
      </c>
      <c r="S79" s="119" t="str">
        <f t="shared" si="107"/>
        <v/>
      </c>
      <c r="T79" s="117" t="str">
        <f t="shared" si="108"/>
        <v/>
      </c>
      <c r="U79" s="94">
        <f t="shared" si="83"/>
        <v>0</v>
      </c>
      <c r="V79" s="94">
        <f t="shared" si="84"/>
        <v>0</v>
      </c>
      <c r="W79" s="95" t="str">
        <f t="shared" si="90"/>
        <v/>
      </c>
      <c r="Y79" s="117">
        <f t="shared" si="85"/>
        <v>0</v>
      </c>
      <c r="Z79" s="117">
        <f t="shared" si="86"/>
        <v>0</v>
      </c>
      <c r="AA79" s="112" t="str">
        <f t="shared" si="109"/>
        <v/>
      </c>
      <c r="AC79" s="129">
        <v>77</v>
      </c>
      <c r="AD79" s="130" t="str">
        <f t="shared" si="96"/>
        <v xml:space="preserve">  </v>
      </c>
      <c r="AE79" s="130" t="str">
        <f t="shared" si="97"/>
        <v xml:space="preserve"> </v>
      </c>
      <c r="AF79" s="130" t="str">
        <f t="shared" si="98"/>
        <v/>
      </c>
      <c r="AG79" s="131" t="str">
        <f t="shared" si="99"/>
        <v/>
      </c>
      <c r="AH79" s="132" t="str">
        <f t="shared" si="100"/>
        <v/>
      </c>
      <c r="BM79" s="117">
        <f t="shared" si="110"/>
        <v>99</v>
      </c>
      <c r="BN79" s="117">
        <f t="shared" si="111"/>
        <v>1</v>
      </c>
    </row>
    <row r="80" spans="1:66" x14ac:dyDescent="0.25">
      <c r="A80" s="117">
        <f t="shared" si="112"/>
        <v>78</v>
      </c>
      <c r="B80" s="113"/>
      <c r="C80" s="21"/>
      <c r="D80" s="113"/>
      <c r="E80" s="113"/>
      <c r="F80" s="21"/>
      <c r="G80" s="113"/>
      <c r="I80" s="117" t="str">
        <f t="shared" si="101"/>
        <v/>
      </c>
      <c r="J80" s="117" t="str">
        <f t="shared" si="102"/>
        <v/>
      </c>
      <c r="K80" s="119" t="str">
        <f t="shared" si="103"/>
        <v/>
      </c>
      <c r="L80" s="117" t="str">
        <f t="shared" si="104"/>
        <v/>
      </c>
      <c r="M80" s="117">
        <f t="shared" si="93"/>
        <v>0</v>
      </c>
      <c r="N80" s="117">
        <f t="shared" si="94"/>
        <v>0</v>
      </c>
      <c r="O80" s="117">
        <f t="shared" si="95"/>
        <v>0</v>
      </c>
      <c r="P80" s="117">
        <f t="shared" si="105"/>
        <v>0</v>
      </c>
      <c r="Q80" s="117"/>
      <c r="R80" s="119" t="str">
        <f t="shared" si="106"/>
        <v/>
      </c>
      <c r="S80" s="119" t="str">
        <f t="shared" si="107"/>
        <v/>
      </c>
      <c r="T80" s="117" t="str">
        <f t="shared" si="108"/>
        <v/>
      </c>
      <c r="U80" s="94">
        <f t="shared" si="83"/>
        <v>0</v>
      </c>
      <c r="V80" s="94">
        <f t="shared" si="84"/>
        <v>0</v>
      </c>
      <c r="W80" s="95" t="str">
        <f t="shared" si="90"/>
        <v/>
      </c>
      <c r="Y80" s="117">
        <f t="shared" si="85"/>
        <v>0</v>
      </c>
      <c r="Z80" s="117">
        <f t="shared" si="86"/>
        <v>0</v>
      </c>
      <c r="AA80" s="112" t="str">
        <f t="shared" si="109"/>
        <v/>
      </c>
      <c r="AC80" s="129">
        <v>78</v>
      </c>
      <c r="AD80" s="130" t="str">
        <f t="shared" si="96"/>
        <v xml:space="preserve">  </v>
      </c>
      <c r="AE80" s="130" t="str">
        <f t="shared" si="97"/>
        <v xml:space="preserve"> </v>
      </c>
      <c r="AF80" s="130" t="str">
        <f t="shared" si="98"/>
        <v/>
      </c>
      <c r="AG80" s="131" t="str">
        <f t="shared" si="99"/>
        <v/>
      </c>
      <c r="AH80" s="132" t="str">
        <f t="shared" si="100"/>
        <v/>
      </c>
      <c r="AJ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M80" s="117">
        <f t="shared" si="110"/>
        <v>99</v>
      </c>
      <c r="BN80" s="117">
        <f t="shared" si="111"/>
        <v>1</v>
      </c>
    </row>
    <row r="81" spans="1:66" x14ac:dyDescent="0.25">
      <c r="A81" s="117">
        <f t="shared" si="112"/>
        <v>79</v>
      </c>
      <c r="B81" s="113"/>
      <c r="C81" s="21"/>
      <c r="D81" s="113"/>
      <c r="E81" s="113"/>
      <c r="F81" s="21"/>
      <c r="G81" s="113"/>
      <c r="I81" s="117" t="str">
        <f t="shared" si="101"/>
        <v/>
      </c>
      <c r="J81" s="117" t="str">
        <f t="shared" si="102"/>
        <v/>
      </c>
      <c r="K81" s="119" t="str">
        <f t="shared" si="103"/>
        <v/>
      </c>
      <c r="L81" s="117" t="str">
        <f t="shared" si="104"/>
        <v/>
      </c>
      <c r="M81" s="117">
        <f t="shared" si="93"/>
        <v>0</v>
      </c>
      <c r="N81" s="117">
        <f t="shared" si="94"/>
        <v>0</v>
      </c>
      <c r="O81" s="117">
        <f t="shared" si="95"/>
        <v>0</v>
      </c>
      <c r="P81" s="117">
        <f t="shared" si="105"/>
        <v>0</v>
      </c>
      <c r="Q81" s="117"/>
      <c r="R81" s="119" t="str">
        <f t="shared" si="106"/>
        <v/>
      </c>
      <c r="S81" s="119" t="str">
        <f t="shared" si="107"/>
        <v/>
      </c>
      <c r="T81" s="117" t="str">
        <f t="shared" si="108"/>
        <v/>
      </c>
      <c r="U81" s="94">
        <f t="shared" si="83"/>
        <v>0</v>
      </c>
      <c r="V81" s="94">
        <f t="shared" si="84"/>
        <v>0</v>
      </c>
      <c r="W81" s="95" t="str">
        <f t="shared" si="90"/>
        <v/>
      </c>
      <c r="Y81" s="117">
        <f t="shared" si="85"/>
        <v>0</v>
      </c>
      <c r="Z81" s="117">
        <f t="shared" si="86"/>
        <v>0</v>
      </c>
      <c r="AA81" s="112" t="str">
        <f t="shared" si="109"/>
        <v/>
      </c>
      <c r="AC81" s="129">
        <v>79</v>
      </c>
      <c r="AD81" s="130" t="str">
        <f t="shared" si="96"/>
        <v xml:space="preserve">  </v>
      </c>
      <c r="AE81" s="130" t="str">
        <f t="shared" si="97"/>
        <v xml:space="preserve"> </v>
      </c>
      <c r="AF81" s="130" t="str">
        <f t="shared" si="98"/>
        <v/>
      </c>
      <c r="AG81" s="131" t="str">
        <f t="shared" si="99"/>
        <v/>
      </c>
      <c r="AH81" s="132" t="str">
        <f t="shared" si="100"/>
        <v/>
      </c>
      <c r="AJ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M81" s="117">
        <f t="shared" si="110"/>
        <v>99</v>
      </c>
      <c r="BN81" s="117">
        <f t="shared" si="111"/>
        <v>1</v>
      </c>
    </row>
    <row r="82" spans="1:66" x14ac:dyDescent="0.25">
      <c r="A82" s="117">
        <f t="shared" si="112"/>
        <v>80</v>
      </c>
      <c r="B82" s="113"/>
      <c r="C82" s="21"/>
      <c r="D82" s="113"/>
      <c r="E82" s="113"/>
      <c r="F82" s="21"/>
      <c r="G82" s="113"/>
      <c r="I82" s="117" t="str">
        <f t="shared" si="101"/>
        <v/>
      </c>
      <c r="J82" s="117" t="str">
        <f t="shared" si="102"/>
        <v/>
      </c>
      <c r="K82" s="119" t="str">
        <f t="shared" si="103"/>
        <v/>
      </c>
      <c r="L82" s="117" t="str">
        <f t="shared" si="104"/>
        <v/>
      </c>
      <c r="M82" s="117">
        <f t="shared" si="93"/>
        <v>0</v>
      </c>
      <c r="N82" s="117">
        <f t="shared" si="94"/>
        <v>0</v>
      </c>
      <c r="O82" s="117">
        <f t="shared" si="95"/>
        <v>0</v>
      </c>
      <c r="P82" s="117">
        <f t="shared" si="105"/>
        <v>0</v>
      </c>
      <c r="Q82" s="117"/>
      <c r="R82" s="119" t="str">
        <f t="shared" si="106"/>
        <v/>
      </c>
      <c r="S82" s="119" t="str">
        <f t="shared" si="107"/>
        <v/>
      </c>
      <c r="T82" s="117" t="str">
        <f t="shared" si="108"/>
        <v/>
      </c>
      <c r="U82" s="94">
        <f t="shared" si="83"/>
        <v>0</v>
      </c>
      <c r="V82" s="94">
        <f t="shared" si="84"/>
        <v>0</v>
      </c>
      <c r="W82" s="95" t="str">
        <f t="shared" si="90"/>
        <v/>
      </c>
      <c r="Y82" s="117">
        <f t="shared" si="85"/>
        <v>0</v>
      </c>
      <c r="Z82" s="117">
        <f t="shared" si="86"/>
        <v>0</v>
      </c>
      <c r="AA82" s="112" t="str">
        <f t="shared" si="109"/>
        <v/>
      </c>
      <c r="AC82" s="129">
        <f t="shared" ref="AC82:AC102" si="113">AC81+1</f>
        <v>80</v>
      </c>
      <c r="AD82" s="130" t="str">
        <f t="shared" si="96"/>
        <v xml:space="preserve">  </v>
      </c>
      <c r="AE82" s="130" t="str">
        <f t="shared" si="97"/>
        <v xml:space="preserve"> </v>
      </c>
      <c r="AF82" s="130" t="str">
        <f t="shared" si="98"/>
        <v/>
      </c>
      <c r="AG82" s="131" t="str">
        <f t="shared" si="99"/>
        <v/>
      </c>
      <c r="AH82" s="132" t="str">
        <f t="shared" si="100"/>
        <v/>
      </c>
      <c r="AJ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M82" s="117">
        <f t="shared" si="110"/>
        <v>99</v>
      </c>
      <c r="BN82" s="117">
        <f t="shared" si="111"/>
        <v>1</v>
      </c>
    </row>
    <row r="83" spans="1:66" x14ac:dyDescent="0.25">
      <c r="A83" s="117">
        <f t="shared" si="112"/>
        <v>81</v>
      </c>
      <c r="B83" s="113"/>
      <c r="C83" s="21"/>
      <c r="D83" s="113"/>
      <c r="E83" s="113"/>
      <c r="F83" s="21"/>
      <c r="G83" s="113"/>
      <c r="I83" s="117" t="str">
        <f t="shared" si="101"/>
        <v/>
      </c>
      <c r="J83" s="117" t="str">
        <f t="shared" si="102"/>
        <v/>
      </c>
      <c r="K83" s="119" t="str">
        <f t="shared" si="103"/>
        <v/>
      </c>
      <c r="L83" s="117" t="str">
        <f t="shared" si="104"/>
        <v/>
      </c>
      <c r="M83" s="117">
        <f t="shared" si="93"/>
        <v>0</v>
      </c>
      <c r="N83" s="117">
        <f t="shared" si="94"/>
        <v>0</v>
      </c>
      <c r="O83" s="117">
        <f t="shared" si="95"/>
        <v>0</v>
      </c>
      <c r="P83" s="117">
        <f t="shared" si="105"/>
        <v>0</v>
      </c>
      <c r="Q83" s="117"/>
      <c r="R83" s="119" t="str">
        <f t="shared" si="106"/>
        <v/>
      </c>
      <c r="S83" s="119" t="str">
        <f t="shared" si="107"/>
        <v/>
      </c>
      <c r="T83" s="117" t="str">
        <f t="shared" si="108"/>
        <v/>
      </c>
      <c r="U83" s="94">
        <f t="shared" si="83"/>
        <v>0</v>
      </c>
      <c r="V83" s="94">
        <f t="shared" si="84"/>
        <v>0</v>
      </c>
      <c r="W83" s="95" t="str">
        <f t="shared" si="90"/>
        <v/>
      </c>
      <c r="Y83" s="117">
        <f t="shared" si="85"/>
        <v>0</v>
      </c>
      <c r="Z83" s="117">
        <f t="shared" si="86"/>
        <v>0</v>
      </c>
      <c r="AA83" s="112" t="str">
        <f t="shared" si="109"/>
        <v/>
      </c>
      <c r="AC83" s="129">
        <f t="shared" si="113"/>
        <v>81</v>
      </c>
      <c r="AD83" s="130" t="str">
        <f t="shared" si="96"/>
        <v xml:space="preserve">  </v>
      </c>
      <c r="AE83" s="130" t="str">
        <f t="shared" si="97"/>
        <v xml:space="preserve"> </v>
      </c>
      <c r="AF83" s="130" t="str">
        <f t="shared" si="98"/>
        <v/>
      </c>
      <c r="AG83" s="131" t="str">
        <f t="shared" si="99"/>
        <v/>
      </c>
      <c r="AH83" s="132" t="str">
        <f t="shared" si="100"/>
        <v/>
      </c>
      <c r="AJ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M83" s="117">
        <f t="shared" si="110"/>
        <v>99</v>
      </c>
      <c r="BN83" s="117">
        <f t="shared" si="111"/>
        <v>1</v>
      </c>
    </row>
    <row r="84" spans="1:66" x14ac:dyDescent="0.25">
      <c r="A84" s="117">
        <f t="shared" si="112"/>
        <v>82</v>
      </c>
      <c r="B84" s="113"/>
      <c r="C84" s="21"/>
      <c r="D84" s="113"/>
      <c r="E84" s="113"/>
      <c r="F84" s="21"/>
      <c r="G84" s="113"/>
      <c r="I84" s="117" t="str">
        <f t="shared" si="101"/>
        <v/>
      </c>
      <c r="J84" s="117" t="str">
        <f t="shared" si="102"/>
        <v/>
      </c>
      <c r="K84" s="119" t="str">
        <f t="shared" si="103"/>
        <v/>
      </c>
      <c r="L84" s="117" t="str">
        <f t="shared" si="104"/>
        <v/>
      </c>
      <c r="M84" s="117">
        <f t="shared" si="93"/>
        <v>0</v>
      </c>
      <c r="N84" s="117">
        <f t="shared" si="94"/>
        <v>0</v>
      </c>
      <c r="O84" s="117">
        <f t="shared" si="95"/>
        <v>0</v>
      </c>
      <c r="P84" s="117">
        <f t="shared" si="105"/>
        <v>0</v>
      </c>
      <c r="Q84" s="117"/>
      <c r="R84" s="119" t="str">
        <f t="shared" si="106"/>
        <v/>
      </c>
      <c r="S84" s="119" t="str">
        <f t="shared" si="107"/>
        <v/>
      </c>
      <c r="T84" s="117" t="str">
        <f t="shared" si="108"/>
        <v/>
      </c>
      <c r="U84" s="94">
        <f t="shared" si="83"/>
        <v>0</v>
      </c>
      <c r="V84" s="94">
        <f t="shared" si="84"/>
        <v>0</v>
      </c>
      <c r="W84" s="95" t="str">
        <f t="shared" si="90"/>
        <v/>
      </c>
      <c r="Y84" s="117">
        <f t="shared" si="85"/>
        <v>0</v>
      </c>
      <c r="Z84" s="117">
        <f t="shared" si="86"/>
        <v>0</v>
      </c>
      <c r="AA84" s="112" t="str">
        <f t="shared" si="109"/>
        <v/>
      </c>
      <c r="AC84" s="129">
        <f t="shared" si="113"/>
        <v>82</v>
      </c>
      <c r="AD84" s="130" t="str">
        <f t="shared" si="96"/>
        <v xml:space="preserve">  </v>
      </c>
      <c r="AE84" s="130" t="str">
        <f t="shared" si="97"/>
        <v xml:space="preserve"> </v>
      </c>
      <c r="AF84" s="130" t="str">
        <f t="shared" si="98"/>
        <v/>
      </c>
      <c r="AG84" s="131" t="str">
        <f t="shared" si="99"/>
        <v/>
      </c>
      <c r="AH84" s="132" t="str">
        <f t="shared" si="100"/>
        <v/>
      </c>
      <c r="AJ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M84" s="117">
        <f t="shared" si="110"/>
        <v>99</v>
      </c>
      <c r="BN84" s="117">
        <f t="shared" si="111"/>
        <v>1</v>
      </c>
    </row>
    <row r="85" spans="1:66" x14ac:dyDescent="0.25">
      <c r="A85" s="117">
        <f t="shared" si="112"/>
        <v>83</v>
      </c>
      <c r="B85" s="113"/>
      <c r="C85" s="21"/>
      <c r="D85" s="113"/>
      <c r="E85" s="113"/>
      <c r="F85" s="21"/>
      <c r="G85" s="113"/>
      <c r="I85" s="117" t="str">
        <f t="shared" si="101"/>
        <v/>
      </c>
      <c r="J85" s="117" t="str">
        <f t="shared" si="102"/>
        <v/>
      </c>
      <c r="K85" s="119" t="str">
        <f t="shared" si="103"/>
        <v/>
      </c>
      <c r="L85" s="117" t="str">
        <f t="shared" si="104"/>
        <v/>
      </c>
      <c r="M85" s="117">
        <f t="shared" si="93"/>
        <v>0</v>
      </c>
      <c r="N85" s="117">
        <f t="shared" si="94"/>
        <v>0</v>
      </c>
      <c r="O85" s="117">
        <f t="shared" si="95"/>
        <v>0</v>
      </c>
      <c r="P85" s="117">
        <f t="shared" si="105"/>
        <v>0</v>
      </c>
      <c r="Q85" s="117"/>
      <c r="R85" s="119" t="str">
        <f t="shared" si="106"/>
        <v/>
      </c>
      <c r="S85" s="119" t="str">
        <f t="shared" si="107"/>
        <v/>
      </c>
      <c r="T85" s="117" t="str">
        <f t="shared" si="108"/>
        <v/>
      </c>
      <c r="U85" s="94">
        <f t="shared" si="83"/>
        <v>0</v>
      </c>
      <c r="V85" s="94">
        <f t="shared" si="84"/>
        <v>0</v>
      </c>
      <c r="W85" s="95" t="str">
        <f t="shared" si="90"/>
        <v/>
      </c>
      <c r="Y85" s="117">
        <f t="shared" si="85"/>
        <v>0</v>
      </c>
      <c r="Z85" s="117">
        <f t="shared" si="86"/>
        <v>0</v>
      </c>
      <c r="AA85" s="112" t="str">
        <f t="shared" si="109"/>
        <v/>
      </c>
      <c r="AC85" s="129">
        <f t="shared" si="113"/>
        <v>83</v>
      </c>
      <c r="AD85" s="130" t="str">
        <f t="shared" si="96"/>
        <v xml:space="preserve">  </v>
      </c>
      <c r="AE85" s="130" t="str">
        <f t="shared" si="97"/>
        <v xml:space="preserve"> </v>
      </c>
      <c r="AF85" s="130" t="str">
        <f t="shared" si="98"/>
        <v/>
      </c>
      <c r="AG85" s="131" t="str">
        <f t="shared" si="99"/>
        <v/>
      </c>
      <c r="AH85" s="132" t="str">
        <f t="shared" si="100"/>
        <v/>
      </c>
      <c r="BM85" s="117">
        <f t="shared" si="110"/>
        <v>99</v>
      </c>
      <c r="BN85" s="117">
        <f t="shared" si="111"/>
        <v>1</v>
      </c>
    </row>
    <row r="86" spans="1:66" x14ac:dyDescent="0.25">
      <c r="A86" s="117">
        <f t="shared" si="112"/>
        <v>84</v>
      </c>
      <c r="B86" s="113"/>
      <c r="C86" s="21"/>
      <c r="D86" s="113"/>
      <c r="E86" s="113"/>
      <c r="F86" s="21"/>
      <c r="G86" s="113"/>
      <c r="I86" s="117" t="str">
        <f t="shared" si="101"/>
        <v/>
      </c>
      <c r="J86" s="117" t="str">
        <f t="shared" si="102"/>
        <v/>
      </c>
      <c r="K86" s="119" t="str">
        <f t="shared" si="103"/>
        <v/>
      </c>
      <c r="L86" s="117" t="str">
        <f t="shared" si="104"/>
        <v/>
      </c>
      <c r="M86" s="117">
        <f t="shared" si="93"/>
        <v>0</v>
      </c>
      <c r="N86" s="117">
        <f t="shared" si="94"/>
        <v>0</v>
      </c>
      <c r="O86" s="117">
        <f t="shared" si="95"/>
        <v>0</v>
      </c>
      <c r="P86" s="117">
        <f t="shared" si="105"/>
        <v>0</v>
      </c>
      <c r="Q86" s="117"/>
      <c r="R86" s="119" t="str">
        <f t="shared" si="106"/>
        <v/>
      </c>
      <c r="S86" s="119" t="str">
        <f t="shared" si="107"/>
        <v/>
      </c>
      <c r="T86" s="117" t="str">
        <f t="shared" si="108"/>
        <v/>
      </c>
      <c r="U86" s="94">
        <f t="shared" si="83"/>
        <v>0</v>
      </c>
      <c r="V86" s="94">
        <f t="shared" si="84"/>
        <v>0</v>
      </c>
      <c r="W86" s="95" t="str">
        <f t="shared" si="90"/>
        <v/>
      </c>
      <c r="Y86" s="117">
        <f t="shared" si="85"/>
        <v>0</v>
      </c>
      <c r="Z86" s="117">
        <f t="shared" si="86"/>
        <v>0</v>
      </c>
      <c r="AA86" s="112" t="str">
        <f t="shared" si="109"/>
        <v/>
      </c>
      <c r="AC86" s="129">
        <f t="shared" si="113"/>
        <v>84</v>
      </c>
      <c r="AD86" s="130" t="str">
        <f t="shared" si="96"/>
        <v xml:space="preserve">  </v>
      </c>
      <c r="AE86" s="130" t="str">
        <f t="shared" si="97"/>
        <v xml:space="preserve"> </v>
      </c>
      <c r="AF86" s="130" t="str">
        <f t="shared" si="98"/>
        <v/>
      </c>
      <c r="AG86" s="131" t="str">
        <f t="shared" si="99"/>
        <v/>
      </c>
      <c r="AH86" s="132" t="str">
        <f t="shared" si="100"/>
        <v/>
      </c>
      <c r="BM86" s="117">
        <f t="shared" si="110"/>
        <v>99</v>
      </c>
      <c r="BN86" s="117">
        <f t="shared" si="111"/>
        <v>1</v>
      </c>
    </row>
    <row r="87" spans="1:66" x14ac:dyDescent="0.25">
      <c r="A87" s="117">
        <f t="shared" si="112"/>
        <v>85</v>
      </c>
      <c r="B87" s="113"/>
      <c r="C87" s="21"/>
      <c r="D87" s="113"/>
      <c r="E87" s="113"/>
      <c r="F87" s="21"/>
      <c r="G87" s="113"/>
      <c r="I87" s="117" t="str">
        <f t="shared" si="101"/>
        <v/>
      </c>
      <c r="J87" s="117" t="str">
        <f t="shared" si="102"/>
        <v/>
      </c>
      <c r="K87" s="119" t="str">
        <f t="shared" si="103"/>
        <v/>
      </c>
      <c r="L87" s="117" t="str">
        <f t="shared" si="104"/>
        <v/>
      </c>
      <c r="M87" s="117">
        <f t="shared" si="93"/>
        <v>0</v>
      </c>
      <c r="N87" s="117">
        <f t="shared" si="94"/>
        <v>0</v>
      </c>
      <c r="O87" s="117">
        <f t="shared" si="95"/>
        <v>0</v>
      </c>
      <c r="P87" s="117">
        <f t="shared" si="105"/>
        <v>0</v>
      </c>
      <c r="Q87" s="117"/>
      <c r="R87" s="119" t="str">
        <f t="shared" si="106"/>
        <v/>
      </c>
      <c r="S87" s="119" t="str">
        <f t="shared" si="107"/>
        <v/>
      </c>
      <c r="T87" s="117" t="str">
        <f t="shared" si="108"/>
        <v/>
      </c>
      <c r="U87" s="94">
        <f t="shared" si="83"/>
        <v>0</v>
      </c>
      <c r="V87" s="94">
        <f t="shared" si="84"/>
        <v>0</v>
      </c>
      <c r="W87" s="95" t="str">
        <f t="shared" si="90"/>
        <v/>
      </c>
      <c r="Y87" s="117">
        <f t="shared" si="85"/>
        <v>0</v>
      </c>
      <c r="Z87" s="117">
        <f t="shared" si="86"/>
        <v>0</v>
      </c>
      <c r="AA87" s="112" t="str">
        <f t="shared" si="109"/>
        <v/>
      </c>
      <c r="AC87" s="129">
        <f t="shared" si="113"/>
        <v>85</v>
      </c>
      <c r="AD87" s="130" t="str">
        <f t="shared" si="96"/>
        <v xml:space="preserve">  </v>
      </c>
      <c r="AE87" s="130" t="str">
        <f t="shared" si="97"/>
        <v xml:space="preserve"> </v>
      </c>
      <c r="AF87" s="130" t="str">
        <f t="shared" si="98"/>
        <v/>
      </c>
      <c r="AG87" s="131" t="str">
        <f t="shared" si="99"/>
        <v/>
      </c>
      <c r="AH87" s="132" t="str">
        <f t="shared" si="100"/>
        <v/>
      </c>
      <c r="BM87" s="117">
        <f t="shared" si="110"/>
        <v>99</v>
      </c>
      <c r="BN87" s="117">
        <f t="shared" si="111"/>
        <v>1</v>
      </c>
    </row>
    <row r="88" spans="1:66" x14ac:dyDescent="0.25">
      <c r="A88" s="117">
        <f t="shared" si="112"/>
        <v>86</v>
      </c>
      <c r="B88" s="113"/>
      <c r="C88" s="21"/>
      <c r="D88" s="113"/>
      <c r="E88" s="113"/>
      <c r="F88" s="21"/>
      <c r="G88" s="113"/>
      <c r="I88" s="117" t="str">
        <f t="shared" si="101"/>
        <v/>
      </c>
      <c r="J88" s="117" t="str">
        <f t="shared" si="102"/>
        <v/>
      </c>
      <c r="K88" s="119" t="str">
        <f t="shared" si="103"/>
        <v/>
      </c>
      <c r="L88" s="117" t="str">
        <f t="shared" si="104"/>
        <v/>
      </c>
      <c r="M88" s="117">
        <f t="shared" si="93"/>
        <v>0</v>
      </c>
      <c r="N88" s="117">
        <f t="shared" si="94"/>
        <v>0</v>
      </c>
      <c r="O88" s="117">
        <f t="shared" si="95"/>
        <v>0</v>
      </c>
      <c r="P88" s="117">
        <f t="shared" si="105"/>
        <v>0</v>
      </c>
      <c r="Q88" s="117"/>
      <c r="R88" s="119" t="str">
        <f t="shared" si="106"/>
        <v/>
      </c>
      <c r="S88" s="119" t="str">
        <f t="shared" si="107"/>
        <v/>
      </c>
      <c r="T88" s="117" t="str">
        <f t="shared" si="108"/>
        <v/>
      </c>
      <c r="U88" s="94">
        <f t="shared" si="83"/>
        <v>0</v>
      </c>
      <c r="V88" s="94">
        <f t="shared" si="84"/>
        <v>0</v>
      </c>
      <c r="W88" s="95" t="str">
        <f t="shared" si="90"/>
        <v/>
      </c>
      <c r="Y88" s="117">
        <f t="shared" si="85"/>
        <v>0</v>
      </c>
      <c r="Z88" s="117">
        <f t="shared" si="86"/>
        <v>0</v>
      </c>
      <c r="AA88" s="112" t="str">
        <f t="shared" si="109"/>
        <v/>
      </c>
      <c r="AC88" s="129">
        <f t="shared" si="113"/>
        <v>86</v>
      </c>
      <c r="AD88" s="130" t="str">
        <f t="shared" si="96"/>
        <v xml:space="preserve">  </v>
      </c>
      <c r="AE88" s="130" t="str">
        <f t="shared" si="97"/>
        <v xml:space="preserve"> </v>
      </c>
      <c r="AF88" s="130" t="str">
        <f t="shared" si="98"/>
        <v/>
      </c>
      <c r="AG88" s="131" t="str">
        <f t="shared" si="99"/>
        <v/>
      </c>
      <c r="AH88" s="132" t="str">
        <f t="shared" si="100"/>
        <v/>
      </c>
      <c r="BM88" s="117">
        <f t="shared" si="110"/>
        <v>99</v>
      </c>
      <c r="BN88" s="117">
        <f t="shared" si="111"/>
        <v>1</v>
      </c>
    </row>
    <row r="89" spans="1:66" x14ac:dyDescent="0.25">
      <c r="A89" s="117">
        <f t="shared" si="112"/>
        <v>87</v>
      </c>
      <c r="B89" s="113"/>
      <c r="C89" s="21"/>
      <c r="D89" s="113"/>
      <c r="E89" s="113"/>
      <c r="F89" s="21"/>
      <c r="G89" s="113"/>
      <c r="I89" s="117" t="str">
        <f t="shared" si="101"/>
        <v/>
      </c>
      <c r="J89" s="117" t="str">
        <f t="shared" si="102"/>
        <v/>
      </c>
      <c r="K89" s="119" t="str">
        <f t="shared" si="103"/>
        <v/>
      </c>
      <c r="L89" s="117" t="str">
        <f t="shared" si="104"/>
        <v/>
      </c>
      <c r="M89" s="117">
        <f t="shared" si="93"/>
        <v>0</v>
      </c>
      <c r="N89" s="117">
        <f t="shared" si="94"/>
        <v>0</v>
      </c>
      <c r="O89" s="117">
        <f t="shared" si="95"/>
        <v>0</v>
      </c>
      <c r="P89" s="117">
        <f t="shared" si="105"/>
        <v>0</v>
      </c>
      <c r="Q89" s="117"/>
      <c r="R89" s="119" t="str">
        <f t="shared" si="106"/>
        <v/>
      </c>
      <c r="S89" s="119" t="str">
        <f t="shared" si="107"/>
        <v/>
      </c>
      <c r="T89" s="117" t="str">
        <f t="shared" si="108"/>
        <v/>
      </c>
      <c r="U89" s="94">
        <f t="shared" si="83"/>
        <v>0</v>
      </c>
      <c r="V89" s="94">
        <f t="shared" si="84"/>
        <v>0</v>
      </c>
      <c r="W89" s="95" t="str">
        <f t="shared" si="90"/>
        <v/>
      </c>
      <c r="Y89" s="117">
        <f t="shared" si="85"/>
        <v>0</v>
      </c>
      <c r="Z89" s="117">
        <f t="shared" si="86"/>
        <v>0</v>
      </c>
      <c r="AA89" s="112" t="str">
        <f t="shared" si="109"/>
        <v/>
      </c>
      <c r="AC89" s="129">
        <f t="shared" si="113"/>
        <v>87</v>
      </c>
      <c r="AD89" s="130" t="str">
        <f t="shared" si="96"/>
        <v xml:space="preserve">  </v>
      </c>
      <c r="AE89" s="130" t="str">
        <f t="shared" si="97"/>
        <v xml:space="preserve"> </v>
      </c>
      <c r="AF89" s="130" t="str">
        <f t="shared" si="98"/>
        <v/>
      </c>
      <c r="AG89" s="131" t="str">
        <f t="shared" si="99"/>
        <v/>
      </c>
      <c r="AH89" s="132" t="str">
        <f t="shared" si="100"/>
        <v/>
      </c>
      <c r="BM89" s="117">
        <f t="shared" si="110"/>
        <v>99</v>
      </c>
      <c r="BN89" s="117">
        <f t="shared" si="111"/>
        <v>1</v>
      </c>
    </row>
    <row r="90" spans="1:66" x14ac:dyDescent="0.25">
      <c r="A90" s="117">
        <f t="shared" si="112"/>
        <v>88</v>
      </c>
      <c r="B90" s="113"/>
      <c r="C90" s="21"/>
      <c r="D90" s="113"/>
      <c r="E90" s="113"/>
      <c r="F90" s="21"/>
      <c r="G90" s="113"/>
      <c r="I90" s="117" t="str">
        <f t="shared" si="101"/>
        <v/>
      </c>
      <c r="J90" s="117" t="str">
        <f t="shared" si="102"/>
        <v/>
      </c>
      <c r="K90" s="119" t="str">
        <f t="shared" si="103"/>
        <v/>
      </c>
      <c r="L90" s="117" t="str">
        <f t="shared" si="104"/>
        <v/>
      </c>
      <c r="M90" s="117">
        <f t="shared" si="93"/>
        <v>0</v>
      </c>
      <c r="N90" s="117">
        <f t="shared" si="94"/>
        <v>0</v>
      </c>
      <c r="O90" s="117">
        <f t="shared" si="95"/>
        <v>0</v>
      </c>
      <c r="P90" s="117">
        <f t="shared" si="105"/>
        <v>0</v>
      </c>
      <c r="Q90" s="117"/>
      <c r="R90" s="119" t="str">
        <f t="shared" si="106"/>
        <v/>
      </c>
      <c r="S90" s="119" t="str">
        <f t="shared" si="107"/>
        <v/>
      </c>
      <c r="T90" s="117" t="str">
        <f t="shared" si="108"/>
        <v/>
      </c>
      <c r="U90" s="94">
        <f t="shared" si="83"/>
        <v>0</v>
      </c>
      <c r="V90" s="94">
        <f t="shared" si="84"/>
        <v>0</v>
      </c>
      <c r="W90" s="95" t="str">
        <f t="shared" si="90"/>
        <v/>
      </c>
      <c r="Y90" s="117">
        <f t="shared" si="85"/>
        <v>0</v>
      </c>
      <c r="Z90" s="117">
        <f t="shared" si="86"/>
        <v>0</v>
      </c>
      <c r="AA90" s="112" t="str">
        <f t="shared" si="109"/>
        <v/>
      </c>
      <c r="AC90" s="129">
        <f t="shared" si="113"/>
        <v>88</v>
      </c>
      <c r="AD90" s="130" t="str">
        <f t="shared" si="96"/>
        <v xml:space="preserve">  </v>
      </c>
      <c r="AE90" s="130" t="str">
        <f t="shared" si="97"/>
        <v xml:space="preserve"> </v>
      </c>
      <c r="AF90" s="130" t="str">
        <f t="shared" si="98"/>
        <v/>
      </c>
      <c r="AG90" s="131" t="str">
        <f t="shared" si="99"/>
        <v/>
      </c>
      <c r="AH90" s="132" t="str">
        <f t="shared" si="100"/>
        <v/>
      </c>
      <c r="BM90" s="117">
        <f t="shared" si="110"/>
        <v>99</v>
      </c>
      <c r="BN90" s="117">
        <f t="shared" si="111"/>
        <v>1</v>
      </c>
    </row>
    <row r="91" spans="1:66" x14ac:dyDescent="0.25">
      <c r="A91" s="117">
        <f t="shared" si="112"/>
        <v>89</v>
      </c>
      <c r="B91" s="113"/>
      <c r="C91" s="21"/>
      <c r="D91" s="113"/>
      <c r="E91" s="113"/>
      <c r="F91" s="21"/>
      <c r="G91" s="113"/>
      <c r="I91" s="117" t="str">
        <f t="shared" si="101"/>
        <v/>
      </c>
      <c r="J91" s="117" t="str">
        <f t="shared" si="102"/>
        <v/>
      </c>
      <c r="K91" s="119" t="str">
        <f t="shared" si="103"/>
        <v/>
      </c>
      <c r="L91" s="117" t="str">
        <f t="shared" si="104"/>
        <v/>
      </c>
      <c r="M91" s="117">
        <f t="shared" si="93"/>
        <v>0</v>
      </c>
      <c r="N91" s="117">
        <f t="shared" si="94"/>
        <v>0</v>
      </c>
      <c r="O91" s="117">
        <f t="shared" si="95"/>
        <v>0</v>
      </c>
      <c r="P91" s="117">
        <f t="shared" si="105"/>
        <v>0</v>
      </c>
      <c r="Q91" s="117"/>
      <c r="R91" s="119" t="str">
        <f t="shared" si="106"/>
        <v/>
      </c>
      <c r="S91" s="119" t="str">
        <f t="shared" si="107"/>
        <v/>
      </c>
      <c r="T91" s="117" t="str">
        <f t="shared" si="108"/>
        <v/>
      </c>
      <c r="U91" s="94">
        <f t="shared" si="83"/>
        <v>0</v>
      </c>
      <c r="V91" s="94">
        <f t="shared" si="84"/>
        <v>0</v>
      </c>
      <c r="W91" s="95" t="str">
        <f t="shared" si="90"/>
        <v/>
      </c>
      <c r="Y91" s="117">
        <f t="shared" si="85"/>
        <v>0</v>
      </c>
      <c r="Z91" s="117">
        <f t="shared" si="86"/>
        <v>0</v>
      </c>
      <c r="AA91" s="112" t="str">
        <f t="shared" si="109"/>
        <v/>
      </c>
      <c r="AC91" s="129">
        <f t="shared" si="113"/>
        <v>89</v>
      </c>
      <c r="AD91" s="130" t="str">
        <f t="shared" si="96"/>
        <v xml:space="preserve">  </v>
      </c>
      <c r="AE91" s="130" t="str">
        <f t="shared" si="97"/>
        <v xml:space="preserve"> </v>
      </c>
      <c r="AF91" s="130" t="str">
        <f t="shared" si="98"/>
        <v/>
      </c>
      <c r="AG91" s="131" t="str">
        <f t="shared" si="99"/>
        <v/>
      </c>
      <c r="AH91" s="132" t="str">
        <f t="shared" si="100"/>
        <v/>
      </c>
      <c r="BM91" s="117">
        <f t="shared" si="110"/>
        <v>99</v>
      </c>
      <c r="BN91" s="117">
        <f t="shared" si="111"/>
        <v>1</v>
      </c>
    </row>
    <row r="92" spans="1:66" x14ac:dyDescent="0.25">
      <c r="A92" s="117">
        <f t="shared" si="112"/>
        <v>90</v>
      </c>
      <c r="B92" s="113"/>
      <c r="C92" s="21"/>
      <c r="D92" s="113"/>
      <c r="E92" s="113"/>
      <c r="F92" s="21"/>
      <c r="G92" s="113"/>
      <c r="I92" s="117" t="str">
        <f t="shared" si="101"/>
        <v/>
      </c>
      <c r="J92" s="117" t="str">
        <f t="shared" si="102"/>
        <v/>
      </c>
      <c r="K92" s="119" t="str">
        <f t="shared" si="103"/>
        <v/>
      </c>
      <c r="L92" s="117" t="str">
        <f t="shared" si="104"/>
        <v/>
      </c>
      <c r="M92" s="117">
        <f t="shared" si="93"/>
        <v>0</v>
      </c>
      <c r="N92" s="117">
        <f t="shared" si="94"/>
        <v>0</v>
      </c>
      <c r="O92" s="117">
        <f t="shared" si="95"/>
        <v>0</v>
      </c>
      <c r="P92" s="117">
        <f t="shared" si="105"/>
        <v>0</v>
      </c>
      <c r="Q92" s="117"/>
      <c r="R92" s="119" t="str">
        <f t="shared" si="106"/>
        <v/>
      </c>
      <c r="S92" s="119" t="str">
        <f t="shared" si="107"/>
        <v/>
      </c>
      <c r="T92" s="117" t="str">
        <f t="shared" si="108"/>
        <v/>
      </c>
      <c r="U92" s="94">
        <f t="shared" si="83"/>
        <v>0</v>
      </c>
      <c r="V92" s="94">
        <f t="shared" si="84"/>
        <v>0</v>
      </c>
      <c r="W92" s="95" t="str">
        <f t="shared" si="90"/>
        <v/>
      </c>
      <c r="Y92" s="117">
        <f t="shared" si="85"/>
        <v>0</v>
      </c>
      <c r="Z92" s="117">
        <f t="shared" si="86"/>
        <v>0</v>
      </c>
      <c r="AA92" s="112" t="str">
        <f t="shared" si="109"/>
        <v/>
      </c>
      <c r="AC92" s="129">
        <f t="shared" si="113"/>
        <v>90</v>
      </c>
      <c r="AD92" s="130" t="str">
        <f t="shared" si="96"/>
        <v xml:space="preserve">  </v>
      </c>
      <c r="AE92" s="130" t="str">
        <f t="shared" si="97"/>
        <v xml:space="preserve"> </v>
      </c>
      <c r="AF92" s="130" t="str">
        <f t="shared" si="98"/>
        <v/>
      </c>
      <c r="AG92" s="131" t="str">
        <f t="shared" si="99"/>
        <v/>
      </c>
      <c r="AH92" s="132" t="str">
        <f t="shared" si="100"/>
        <v/>
      </c>
      <c r="BM92" s="117">
        <f t="shared" si="110"/>
        <v>99</v>
      </c>
      <c r="BN92" s="117">
        <f t="shared" si="111"/>
        <v>1</v>
      </c>
    </row>
    <row r="93" spans="1:66" x14ac:dyDescent="0.25">
      <c r="A93" s="117">
        <f t="shared" si="112"/>
        <v>91</v>
      </c>
      <c r="B93" s="113"/>
      <c r="C93" s="21"/>
      <c r="D93" s="113"/>
      <c r="E93" s="113"/>
      <c r="F93" s="21"/>
      <c r="G93" s="113"/>
      <c r="I93" s="117" t="str">
        <f t="shared" si="101"/>
        <v/>
      </c>
      <c r="J93" s="117" t="str">
        <f t="shared" si="102"/>
        <v/>
      </c>
      <c r="K93" s="119" t="str">
        <f t="shared" si="103"/>
        <v/>
      </c>
      <c r="L93" s="117" t="str">
        <f t="shared" si="104"/>
        <v/>
      </c>
      <c r="M93" s="117">
        <f t="shared" si="93"/>
        <v>0</v>
      </c>
      <c r="N93" s="117">
        <f t="shared" si="94"/>
        <v>0</v>
      </c>
      <c r="O93" s="117">
        <f t="shared" si="95"/>
        <v>0</v>
      </c>
      <c r="P93" s="117">
        <f t="shared" si="105"/>
        <v>0</v>
      </c>
      <c r="Q93" s="117"/>
      <c r="R93" s="119" t="str">
        <f t="shared" si="106"/>
        <v/>
      </c>
      <c r="S93" s="119" t="str">
        <f t="shared" si="107"/>
        <v/>
      </c>
      <c r="T93" s="117" t="str">
        <f t="shared" si="108"/>
        <v/>
      </c>
      <c r="U93" s="94">
        <f t="shared" si="83"/>
        <v>0</v>
      </c>
      <c r="V93" s="94">
        <f t="shared" si="84"/>
        <v>0</v>
      </c>
      <c r="W93" s="95" t="str">
        <f t="shared" si="90"/>
        <v/>
      </c>
      <c r="Y93" s="117">
        <f t="shared" si="85"/>
        <v>0</v>
      </c>
      <c r="Z93" s="117">
        <f t="shared" si="86"/>
        <v>0</v>
      </c>
      <c r="AA93" s="112" t="str">
        <f t="shared" si="109"/>
        <v/>
      </c>
      <c r="AC93" s="129">
        <f t="shared" si="113"/>
        <v>91</v>
      </c>
      <c r="AD93" s="130" t="str">
        <f t="shared" si="96"/>
        <v xml:space="preserve">  </v>
      </c>
      <c r="AE93" s="130" t="str">
        <f t="shared" si="97"/>
        <v xml:space="preserve"> </v>
      </c>
      <c r="AF93" s="130" t="str">
        <f t="shared" si="98"/>
        <v/>
      </c>
      <c r="AG93" s="131" t="str">
        <f t="shared" si="99"/>
        <v/>
      </c>
      <c r="AH93" s="132" t="str">
        <f t="shared" si="100"/>
        <v/>
      </c>
      <c r="BM93" s="117">
        <f t="shared" si="110"/>
        <v>99</v>
      </c>
      <c r="BN93" s="117">
        <f t="shared" si="111"/>
        <v>1</v>
      </c>
    </row>
    <row r="94" spans="1:66" x14ac:dyDescent="0.25">
      <c r="A94" s="117">
        <f t="shared" si="112"/>
        <v>92</v>
      </c>
      <c r="B94" s="113"/>
      <c r="C94" s="21"/>
      <c r="D94" s="113"/>
      <c r="E94" s="113"/>
      <c r="F94" s="21"/>
      <c r="G94" s="113"/>
      <c r="I94" s="117" t="str">
        <f t="shared" si="101"/>
        <v/>
      </c>
      <c r="J94" s="117" t="str">
        <f t="shared" si="102"/>
        <v/>
      </c>
      <c r="K94" s="119" t="str">
        <f t="shared" si="103"/>
        <v/>
      </c>
      <c r="L94" s="117" t="str">
        <f t="shared" si="104"/>
        <v/>
      </c>
      <c r="M94" s="117">
        <f t="shared" si="93"/>
        <v>0</v>
      </c>
      <c r="N94" s="117">
        <f t="shared" si="94"/>
        <v>0</v>
      </c>
      <c r="O94" s="117">
        <f t="shared" si="95"/>
        <v>0</v>
      </c>
      <c r="P94" s="117">
        <f t="shared" si="105"/>
        <v>0</v>
      </c>
      <c r="Q94" s="117"/>
      <c r="R94" s="119" t="str">
        <f t="shared" si="106"/>
        <v/>
      </c>
      <c r="S94" s="119" t="str">
        <f t="shared" si="107"/>
        <v/>
      </c>
      <c r="T94" s="117" t="str">
        <f t="shared" si="108"/>
        <v/>
      </c>
      <c r="U94" s="94">
        <f t="shared" si="83"/>
        <v>0</v>
      </c>
      <c r="V94" s="94">
        <f t="shared" si="84"/>
        <v>0</v>
      </c>
      <c r="W94" s="95" t="str">
        <f t="shared" si="90"/>
        <v/>
      </c>
      <c r="Y94" s="117">
        <f t="shared" si="85"/>
        <v>0</v>
      </c>
      <c r="Z94" s="117">
        <f t="shared" si="86"/>
        <v>0</v>
      </c>
      <c r="AA94" s="112" t="str">
        <f t="shared" si="109"/>
        <v/>
      </c>
      <c r="AC94" s="129">
        <f t="shared" si="113"/>
        <v>92</v>
      </c>
      <c r="AD94" s="130" t="str">
        <f t="shared" si="96"/>
        <v xml:space="preserve">  </v>
      </c>
      <c r="AE94" s="130" t="str">
        <f t="shared" si="97"/>
        <v xml:space="preserve"> </v>
      </c>
      <c r="AF94" s="130" t="str">
        <f t="shared" si="98"/>
        <v/>
      </c>
      <c r="AG94" s="131" t="str">
        <f t="shared" si="99"/>
        <v/>
      </c>
      <c r="AH94" s="132" t="str">
        <f t="shared" si="100"/>
        <v/>
      </c>
      <c r="BM94" s="117">
        <f t="shared" si="110"/>
        <v>99</v>
      </c>
      <c r="BN94" s="117">
        <f t="shared" si="111"/>
        <v>1</v>
      </c>
    </row>
    <row r="95" spans="1:66" x14ac:dyDescent="0.25">
      <c r="A95" s="117">
        <f t="shared" si="112"/>
        <v>93</v>
      </c>
      <c r="B95" s="113"/>
      <c r="C95" s="21"/>
      <c r="D95" s="113"/>
      <c r="E95" s="113"/>
      <c r="F95" s="21"/>
      <c r="G95" s="113"/>
      <c r="I95" s="117" t="str">
        <f t="shared" si="101"/>
        <v/>
      </c>
      <c r="J95" s="117" t="str">
        <f t="shared" si="102"/>
        <v/>
      </c>
      <c r="K95" s="119" t="str">
        <f t="shared" si="103"/>
        <v/>
      </c>
      <c r="L95" s="117" t="str">
        <f t="shared" si="104"/>
        <v/>
      </c>
      <c r="M95" s="117">
        <f t="shared" si="93"/>
        <v>0</v>
      </c>
      <c r="N95" s="117">
        <f t="shared" si="94"/>
        <v>0</v>
      </c>
      <c r="O95" s="117">
        <f t="shared" si="95"/>
        <v>0</v>
      </c>
      <c r="P95" s="117">
        <f t="shared" si="105"/>
        <v>0</v>
      </c>
      <c r="Q95" s="117"/>
      <c r="R95" s="119" t="str">
        <f t="shared" si="106"/>
        <v/>
      </c>
      <c r="S95" s="119" t="str">
        <f t="shared" si="107"/>
        <v/>
      </c>
      <c r="T95" s="117" t="str">
        <f t="shared" si="108"/>
        <v/>
      </c>
      <c r="U95" s="94">
        <f t="shared" si="83"/>
        <v>0</v>
      </c>
      <c r="V95" s="94">
        <f t="shared" si="84"/>
        <v>0</v>
      </c>
      <c r="W95" s="95" t="str">
        <f t="shared" si="90"/>
        <v/>
      </c>
      <c r="Y95" s="117">
        <f t="shared" si="85"/>
        <v>0</v>
      </c>
      <c r="Z95" s="117">
        <f t="shared" si="86"/>
        <v>0</v>
      </c>
      <c r="AA95" s="112" t="str">
        <f t="shared" si="109"/>
        <v/>
      </c>
      <c r="AC95" s="129">
        <f t="shared" si="113"/>
        <v>93</v>
      </c>
      <c r="AD95" s="130" t="str">
        <f t="shared" si="96"/>
        <v xml:space="preserve">  </v>
      </c>
      <c r="AE95" s="130" t="str">
        <f t="shared" si="97"/>
        <v xml:space="preserve"> </v>
      </c>
      <c r="AF95" s="130" t="str">
        <f t="shared" si="98"/>
        <v/>
      </c>
      <c r="AG95" s="131" t="str">
        <f t="shared" si="99"/>
        <v/>
      </c>
      <c r="AH95" s="132" t="str">
        <f t="shared" si="100"/>
        <v/>
      </c>
      <c r="BM95" s="117">
        <f t="shared" si="110"/>
        <v>99</v>
      </c>
      <c r="BN95" s="117">
        <f t="shared" si="111"/>
        <v>1</v>
      </c>
    </row>
    <row r="96" spans="1:66" x14ac:dyDescent="0.25">
      <c r="A96" s="117">
        <f t="shared" si="112"/>
        <v>94</v>
      </c>
      <c r="B96" s="113"/>
      <c r="C96" s="21"/>
      <c r="D96" s="113"/>
      <c r="E96" s="113"/>
      <c r="F96" s="21"/>
      <c r="G96" s="113"/>
      <c r="I96" s="117" t="str">
        <f t="shared" si="101"/>
        <v/>
      </c>
      <c r="J96" s="117" t="str">
        <f t="shared" si="102"/>
        <v/>
      </c>
      <c r="K96" s="119" t="str">
        <f t="shared" si="103"/>
        <v/>
      </c>
      <c r="L96" s="117" t="str">
        <f t="shared" si="104"/>
        <v/>
      </c>
      <c r="M96" s="117">
        <f t="shared" si="93"/>
        <v>0</v>
      </c>
      <c r="N96" s="117">
        <f t="shared" si="94"/>
        <v>0</v>
      </c>
      <c r="O96" s="117">
        <f t="shared" si="95"/>
        <v>0</v>
      </c>
      <c r="P96" s="117">
        <f t="shared" si="105"/>
        <v>0</v>
      </c>
      <c r="Q96" s="117"/>
      <c r="R96" s="119" t="str">
        <f t="shared" si="106"/>
        <v/>
      </c>
      <c r="S96" s="119" t="str">
        <f t="shared" si="107"/>
        <v/>
      </c>
      <c r="T96" s="117" t="str">
        <f t="shared" si="108"/>
        <v/>
      </c>
      <c r="U96" s="94">
        <f t="shared" si="83"/>
        <v>0</v>
      </c>
      <c r="V96" s="94">
        <f t="shared" si="84"/>
        <v>0</v>
      </c>
      <c r="W96" s="95" t="str">
        <f t="shared" si="90"/>
        <v/>
      </c>
      <c r="Y96" s="117">
        <f t="shared" si="85"/>
        <v>0</v>
      </c>
      <c r="Z96" s="117">
        <f t="shared" si="86"/>
        <v>0</v>
      </c>
      <c r="AA96" s="112" t="str">
        <f t="shared" si="109"/>
        <v/>
      </c>
      <c r="AC96" s="129">
        <f t="shared" si="113"/>
        <v>94</v>
      </c>
      <c r="AD96" s="130" t="str">
        <f t="shared" si="96"/>
        <v xml:space="preserve">  </v>
      </c>
      <c r="AE96" s="130" t="str">
        <f t="shared" si="97"/>
        <v xml:space="preserve"> </v>
      </c>
      <c r="AF96" s="130" t="str">
        <f t="shared" si="98"/>
        <v/>
      </c>
      <c r="AG96" s="131" t="str">
        <f t="shared" si="99"/>
        <v/>
      </c>
      <c r="AH96" s="132" t="str">
        <f t="shared" si="100"/>
        <v/>
      </c>
      <c r="BM96" s="117">
        <f t="shared" si="110"/>
        <v>99</v>
      </c>
      <c r="BN96" s="117">
        <f t="shared" si="111"/>
        <v>1</v>
      </c>
    </row>
    <row r="97" spans="1:66" x14ac:dyDescent="0.25">
      <c r="A97" s="117">
        <f t="shared" si="112"/>
        <v>95</v>
      </c>
      <c r="B97" s="113"/>
      <c r="C97" s="21"/>
      <c r="D97" s="113"/>
      <c r="E97" s="113"/>
      <c r="F97" s="21"/>
      <c r="G97" s="113"/>
      <c r="I97" s="117" t="str">
        <f t="shared" si="101"/>
        <v/>
      </c>
      <c r="J97" s="117" t="str">
        <f t="shared" si="102"/>
        <v/>
      </c>
      <c r="K97" s="119" t="str">
        <f t="shared" si="103"/>
        <v/>
      </c>
      <c r="L97" s="117" t="str">
        <f t="shared" si="104"/>
        <v/>
      </c>
      <c r="M97" s="117">
        <f t="shared" si="93"/>
        <v>0</v>
      </c>
      <c r="N97" s="117">
        <f t="shared" si="94"/>
        <v>0</v>
      </c>
      <c r="O97" s="117">
        <f t="shared" si="95"/>
        <v>0</v>
      </c>
      <c r="P97" s="117">
        <f t="shared" si="105"/>
        <v>0</v>
      </c>
      <c r="Q97" s="117"/>
      <c r="R97" s="119" t="str">
        <f t="shared" si="106"/>
        <v/>
      </c>
      <c r="S97" s="119" t="str">
        <f t="shared" si="107"/>
        <v/>
      </c>
      <c r="T97" s="117" t="str">
        <f t="shared" si="108"/>
        <v/>
      </c>
      <c r="U97" s="94">
        <f t="shared" si="83"/>
        <v>0</v>
      </c>
      <c r="V97" s="94">
        <f t="shared" si="84"/>
        <v>0</v>
      </c>
      <c r="W97" s="95" t="str">
        <f t="shared" si="90"/>
        <v/>
      </c>
      <c r="Y97" s="117">
        <f t="shared" si="85"/>
        <v>0</v>
      </c>
      <c r="Z97" s="117">
        <f t="shared" si="86"/>
        <v>0</v>
      </c>
      <c r="AA97" s="112" t="str">
        <f t="shared" si="109"/>
        <v/>
      </c>
      <c r="AC97" s="129">
        <f t="shared" si="113"/>
        <v>95</v>
      </c>
      <c r="AD97" s="130" t="str">
        <f t="shared" si="96"/>
        <v xml:space="preserve">  </v>
      </c>
      <c r="AE97" s="130" t="str">
        <f t="shared" si="97"/>
        <v xml:space="preserve"> </v>
      </c>
      <c r="AF97" s="130" t="str">
        <f t="shared" si="98"/>
        <v/>
      </c>
      <c r="AG97" s="131" t="str">
        <f t="shared" si="99"/>
        <v/>
      </c>
      <c r="AH97" s="132" t="str">
        <f t="shared" si="100"/>
        <v/>
      </c>
      <c r="BM97" s="117">
        <f t="shared" si="110"/>
        <v>99</v>
      </c>
      <c r="BN97" s="117">
        <f t="shared" si="111"/>
        <v>1</v>
      </c>
    </row>
    <row r="98" spans="1:66" x14ac:dyDescent="0.25">
      <c r="A98" s="117">
        <f t="shared" si="112"/>
        <v>96</v>
      </c>
      <c r="B98" s="113"/>
      <c r="C98" s="21"/>
      <c r="D98" s="113"/>
      <c r="E98" s="113"/>
      <c r="F98" s="21"/>
      <c r="G98" s="113"/>
      <c r="I98" s="117" t="str">
        <f t="shared" si="101"/>
        <v/>
      </c>
      <c r="J98" s="117" t="str">
        <f t="shared" si="102"/>
        <v/>
      </c>
      <c r="K98" s="119" t="str">
        <f t="shared" si="103"/>
        <v/>
      </c>
      <c r="L98" s="117" t="str">
        <f t="shared" si="104"/>
        <v/>
      </c>
      <c r="M98" s="117">
        <f t="shared" si="93"/>
        <v>0</v>
      </c>
      <c r="N98" s="117">
        <f t="shared" si="94"/>
        <v>0</v>
      </c>
      <c r="O98" s="117">
        <f t="shared" si="95"/>
        <v>0</v>
      </c>
      <c r="P98" s="117">
        <f t="shared" si="105"/>
        <v>0</v>
      </c>
      <c r="Q98" s="117"/>
      <c r="R98" s="119" t="str">
        <f t="shared" si="106"/>
        <v/>
      </c>
      <c r="S98" s="119" t="str">
        <f t="shared" si="107"/>
        <v/>
      </c>
      <c r="T98" s="117" t="str">
        <f t="shared" si="108"/>
        <v/>
      </c>
      <c r="U98" s="94">
        <f t="shared" si="83"/>
        <v>0</v>
      </c>
      <c r="V98" s="94">
        <f t="shared" si="84"/>
        <v>0</v>
      </c>
      <c r="W98" s="95" t="str">
        <f t="shared" si="90"/>
        <v/>
      </c>
      <c r="Y98" s="117">
        <f t="shared" si="85"/>
        <v>0</v>
      </c>
      <c r="Z98" s="117">
        <f t="shared" si="86"/>
        <v>0</v>
      </c>
      <c r="AA98" s="112" t="str">
        <f t="shared" si="109"/>
        <v/>
      </c>
      <c r="AC98" s="129">
        <f t="shared" si="113"/>
        <v>96</v>
      </c>
      <c r="AD98" s="130" t="str">
        <f t="shared" si="96"/>
        <v xml:space="preserve">  </v>
      </c>
      <c r="AE98" s="130" t="str">
        <f t="shared" si="97"/>
        <v xml:space="preserve"> </v>
      </c>
      <c r="AF98" s="130" t="str">
        <f t="shared" si="98"/>
        <v/>
      </c>
      <c r="AG98" s="131" t="str">
        <f t="shared" si="99"/>
        <v/>
      </c>
      <c r="AH98" s="132" t="str">
        <f t="shared" si="100"/>
        <v/>
      </c>
      <c r="BM98" s="117">
        <f t="shared" si="110"/>
        <v>99</v>
      </c>
      <c r="BN98" s="117">
        <f t="shared" si="111"/>
        <v>1</v>
      </c>
    </row>
    <row r="99" spans="1:66" x14ac:dyDescent="0.25">
      <c r="A99" s="117">
        <f t="shared" si="112"/>
        <v>97</v>
      </c>
      <c r="B99" s="113"/>
      <c r="C99" s="21"/>
      <c r="D99" s="113"/>
      <c r="E99" s="113"/>
      <c r="F99" s="21"/>
      <c r="G99" s="113"/>
      <c r="I99" s="117" t="str">
        <f t="shared" si="101"/>
        <v/>
      </c>
      <c r="J99" s="117" t="str">
        <f t="shared" si="102"/>
        <v/>
      </c>
      <c r="K99" s="119" t="str">
        <f t="shared" si="103"/>
        <v/>
      </c>
      <c r="L99" s="117" t="str">
        <f t="shared" si="104"/>
        <v/>
      </c>
      <c r="M99" s="117">
        <f t="shared" si="93"/>
        <v>0</v>
      </c>
      <c r="N99" s="117">
        <f t="shared" si="94"/>
        <v>0</v>
      </c>
      <c r="O99" s="117">
        <f t="shared" si="95"/>
        <v>0</v>
      </c>
      <c r="P99" s="117">
        <f t="shared" si="105"/>
        <v>0</v>
      </c>
      <c r="Q99" s="117"/>
      <c r="R99" s="119" t="str">
        <f t="shared" si="106"/>
        <v/>
      </c>
      <c r="S99" s="119" t="str">
        <f t="shared" si="107"/>
        <v/>
      </c>
      <c r="T99" s="117" t="str">
        <f t="shared" si="108"/>
        <v/>
      </c>
      <c r="U99" s="94">
        <f t="shared" si="83"/>
        <v>0</v>
      </c>
      <c r="V99" s="94">
        <f t="shared" si="84"/>
        <v>0</v>
      </c>
      <c r="W99" s="95" t="str">
        <f t="shared" si="90"/>
        <v/>
      </c>
      <c r="Y99" s="117">
        <f t="shared" si="85"/>
        <v>0</v>
      </c>
      <c r="Z99" s="117">
        <f t="shared" si="86"/>
        <v>0</v>
      </c>
      <c r="AA99" s="112" t="str">
        <f t="shared" si="109"/>
        <v/>
      </c>
      <c r="AC99" s="129">
        <f t="shared" si="113"/>
        <v>97</v>
      </c>
      <c r="AD99" s="130" t="str">
        <f t="shared" si="96"/>
        <v xml:space="preserve">  </v>
      </c>
      <c r="AE99" s="130" t="str">
        <f t="shared" si="97"/>
        <v xml:space="preserve"> </v>
      </c>
      <c r="AF99" s="130" t="str">
        <f t="shared" si="98"/>
        <v/>
      </c>
      <c r="AG99" s="131" t="str">
        <f t="shared" si="99"/>
        <v/>
      </c>
      <c r="AH99" s="132" t="str">
        <f t="shared" si="100"/>
        <v/>
      </c>
      <c r="BM99" s="117">
        <f t="shared" si="110"/>
        <v>99</v>
      </c>
      <c r="BN99" s="117">
        <f t="shared" si="111"/>
        <v>1</v>
      </c>
    </row>
    <row r="100" spans="1:66" x14ac:dyDescent="0.25">
      <c r="A100" s="117">
        <f t="shared" si="112"/>
        <v>98</v>
      </c>
      <c r="B100" s="113"/>
      <c r="C100" s="21"/>
      <c r="D100" s="113"/>
      <c r="E100" s="113"/>
      <c r="F100" s="21"/>
      <c r="G100" s="113"/>
      <c r="I100" s="117" t="str">
        <f t="shared" si="101"/>
        <v/>
      </c>
      <c r="J100" s="117" t="str">
        <f t="shared" si="102"/>
        <v/>
      </c>
      <c r="K100" s="119" t="str">
        <f t="shared" si="103"/>
        <v/>
      </c>
      <c r="L100" s="117" t="str">
        <f t="shared" si="104"/>
        <v/>
      </c>
      <c r="M100" s="117">
        <f t="shared" si="93"/>
        <v>0</v>
      </c>
      <c r="N100" s="117">
        <f t="shared" si="94"/>
        <v>0</v>
      </c>
      <c r="O100" s="117">
        <f t="shared" si="95"/>
        <v>0</v>
      </c>
      <c r="P100" s="117">
        <f t="shared" si="105"/>
        <v>0</v>
      </c>
      <c r="Q100" s="117"/>
      <c r="R100" s="119" t="str">
        <f t="shared" si="106"/>
        <v/>
      </c>
      <c r="S100" s="119" t="str">
        <f t="shared" si="107"/>
        <v/>
      </c>
      <c r="T100" s="117" t="str">
        <f t="shared" si="108"/>
        <v/>
      </c>
      <c r="U100" s="94">
        <f t="shared" si="83"/>
        <v>0</v>
      </c>
      <c r="V100" s="94">
        <f t="shared" si="84"/>
        <v>0</v>
      </c>
      <c r="W100" s="95" t="str">
        <f t="shared" si="90"/>
        <v/>
      </c>
      <c r="Y100" s="117">
        <f t="shared" si="85"/>
        <v>0</v>
      </c>
      <c r="Z100" s="117">
        <f t="shared" si="86"/>
        <v>0</v>
      </c>
      <c r="AA100" s="112" t="str">
        <f t="shared" si="109"/>
        <v/>
      </c>
      <c r="AC100" s="129">
        <f t="shared" si="113"/>
        <v>98</v>
      </c>
      <c r="AD100" s="130" t="str">
        <f t="shared" si="96"/>
        <v xml:space="preserve">  </v>
      </c>
      <c r="AE100" s="130" t="str">
        <f t="shared" si="97"/>
        <v xml:space="preserve"> </v>
      </c>
      <c r="AF100" s="130" t="str">
        <f t="shared" si="98"/>
        <v/>
      </c>
      <c r="AG100" s="131" t="str">
        <f t="shared" si="99"/>
        <v/>
      </c>
      <c r="AH100" s="132" t="str">
        <f t="shared" si="100"/>
        <v/>
      </c>
      <c r="BM100" s="117">
        <f t="shared" si="110"/>
        <v>99</v>
      </c>
      <c r="BN100" s="117">
        <f t="shared" si="111"/>
        <v>1</v>
      </c>
    </row>
    <row r="101" spans="1:66" x14ac:dyDescent="0.25">
      <c r="A101" s="117">
        <f t="shared" si="112"/>
        <v>99</v>
      </c>
      <c r="B101" s="113"/>
      <c r="C101" s="21"/>
      <c r="D101" s="113"/>
      <c r="E101" s="113"/>
      <c r="F101" s="21"/>
      <c r="G101" s="113"/>
      <c r="I101" s="117" t="str">
        <f t="shared" si="101"/>
        <v/>
      </c>
      <c r="J101" s="117" t="str">
        <f t="shared" si="102"/>
        <v/>
      </c>
      <c r="K101" s="119" t="str">
        <f t="shared" si="103"/>
        <v/>
      </c>
      <c r="L101" s="117" t="str">
        <f t="shared" si="104"/>
        <v/>
      </c>
      <c r="M101" s="117">
        <f t="shared" si="93"/>
        <v>0</v>
      </c>
      <c r="N101" s="117">
        <f t="shared" si="94"/>
        <v>0</v>
      </c>
      <c r="O101" s="117">
        <f t="shared" si="95"/>
        <v>0</v>
      </c>
      <c r="P101" s="117">
        <f t="shared" si="105"/>
        <v>0</v>
      </c>
      <c r="Q101" s="117"/>
      <c r="R101" s="119" t="str">
        <f t="shared" si="106"/>
        <v/>
      </c>
      <c r="S101" s="119" t="str">
        <f t="shared" si="107"/>
        <v/>
      </c>
      <c r="T101" s="117" t="str">
        <f t="shared" si="108"/>
        <v/>
      </c>
      <c r="U101" s="94">
        <f t="shared" si="83"/>
        <v>0</v>
      </c>
      <c r="V101" s="94">
        <f t="shared" si="84"/>
        <v>0</v>
      </c>
      <c r="W101" s="95" t="str">
        <f t="shared" si="90"/>
        <v/>
      </c>
      <c r="Y101" s="117">
        <f t="shared" si="85"/>
        <v>0</v>
      </c>
      <c r="Z101" s="117">
        <f t="shared" si="86"/>
        <v>0</v>
      </c>
      <c r="AA101" s="112" t="str">
        <f t="shared" si="109"/>
        <v/>
      </c>
      <c r="AC101" s="129">
        <f t="shared" si="113"/>
        <v>99</v>
      </c>
      <c r="AD101" s="130" t="str">
        <f t="shared" si="96"/>
        <v xml:space="preserve">  </v>
      </c>
      <c r="AE101" s="130" t="str">
        <f t="shared" si="97"/>
        <v xml:space="preserve"> </v>
      </c>
      <c r="AF101" s="130" t="str">
        <f t="shared" si="98"/>
        <v/>
      </c>
      <c r="AG101" s="131" t="str">
        <f t="shared" si="99"/>
        <v/>
      </c>
      <c r="AH101" s="132" t="str">
        <f t="shared" si="100"/>
        <v/>
      </c>
      <c r="BM101" s="117">
        <f t="shared" si="110"/>
        <v>99</v>
      </c>
      <c r="BN101" s="117">
        <f t="shared" si="111"/>
        <v>1</v>
      </c>
    </row>
    <row r="102" spans="1:66" x14ac:dyDescent="0.25">
      <c r="A102" s="117">
        <f t="shared" si="112"/>
        <v>100</v>
      </c>
      <c r="B102" s="113"/>
      <c r="C102" s="21"/>
      <c r="D102" s="113"/>
      <c r="E102" s="113"/>
      <c r="F102" s="21"/>
      <c r="G102" s="113"/>
      <c r="I102" s="117" t="str">
        <f t="shared" si="101"/>
        <v/>
      </c>
      <c r="J102" s="117" t="str">
        <f t="shared" si="102"/>
        <v/>
      </c>
      <c r="K102" s="119" t="str">
        <f t="shared" si="103"/>
        <v/>
      </c>
      <c r="L102" s="117" t="str">
        <f t="shared" si="104"/>
        <v/>
      </c>
      <c r="M102" s="117">
        <f t="shared" si="93"/>
        <v>0</v>
      </c>
      <c r="N102" s="117">
        <f t="shared" si="94"/>
        <v>0</v>
      </c>
      <c r="O102" s="117">
        <f t="shared" si="95"/>
        <v>0</v>
      </c>
      <c r="P102" s="117">
        <f t="shared" si="105"/>
        <v>0</v>
      </c>
      <c r="Q102" s="117"/>
      <c r="R102" s="119" t="str">
        <f t="shared" si="106"/>
        <v/>
      </c>
      <c r="S102" s="119" t="str">
        <f t="shared" si="107"/>
        <v/>
      </c>
      <c r="T102" s="117" t="str">
        <f t="shared" si="108"/>
        <v/>
      </c>
      <c r="U102" s="94">
        <f t="shared" si="83"/>
        <v>0</v>
      </c>
      <c r="V102" s="94">
        <f t="shared" si="84"/>
        <v>0</v>
      </c>
      <c r="W102" s="95" t="str">
        <f t="shared" si="90"/>
        <v/>
      </c>
      <c r="Y102" s="117">
        <f t="shared" si="85"/>
        <v>0</v>
      </c>
      <c r="Z102" s="117">
        <f t="shared" si="86"/>
        <v>0</v>
      </c>
      <c r="AA102" s="112" t="str">
        <f t="shared" si="109"/>
        <v/>
      </c>
      <c r="AC102" s="133">
        <f t="shared" si="113"/>
        <v>100</v>
      </c>
      <c r="AD102" s="134" t="str">
        <f t="shared" si="96"/>
        <v xml:space="preserve">  </v>
      </c>
      <c r="AE102" s="134" t="str">
        <f t="shared" si="97"/>
        <v xml:space="preserve"> </v>
      </c>
      <c r="AF102" s="134" t="str">
        <f t="shared" si="98"/>
        <v/>
      </c>
      <c r="AG102" s="135" t="str">
        <f t="shared" si="99"/>
        <v/>
      </c>
      <c r="AH102" s="136" t="str">
        <f t="shared" si="100"/>
        <v/>
      </c>
      <c r="BM102" s="117">
        <f t="shared" si="110"/>
        <v>99</v>
      </c>
      <c r="BN102" s="117">
        <f t="shared" si="111"/>
        <v>1</v>
      </c>
    </row>
    <row r="103" spans="1:66" x14ac:dyDescent="0.25">
      <c r="AC103" s="139"/>
      <c r="AD103" s="139"/>
      <c r="AE103" s="139"/>
      <c r="AF103" s="139"/>
      <c r="AG103" s="139"/>
      <c r="AH103" s="139"/>
    </row>
  </sheetData>
  <sortState ref="B3:G58">
    <sortCondition ref="B3"/>
  </sortState>
  <mergeCells count="4">
    <mergeCell ref="M2:P2"/>
    <mergeCell ref="AN2:AQ2"/>
    <mergeCell ref="AT2:AW2"/>
    <mergeCell ref="AC1:AH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Výplata</vt:lpstr>
      <vt:lpstr>Údaje o rozhodčích</vt:lpstr>
      <vt:lpstr>Výplata!Oblast_tisku</vt:lpstr>
    </vt:vector>
  </TitlesOfParts>
  <Company>SEP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 ing.</dc:creator>
  <cp:lastModifiedBy>User</cp:lastModifiedBy>
  <cp:lastPrinted>2013-11-02T07:58:28Z</cp:lastPrinted>
  <dcterms:created xsi:type="dcterms:W3CDTF">2000-04-06T16:12:35Z</dcterms:created>
  <dcterms:modified xsi:type="dcterms:W3CDTF">2016-10-31T10:06:00Z</dcterms:modified>
</cp:coreProperties>
</file>